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tabRatio="947" firstSheet="13" activeTab="20"/>
  </bookViews>
  <sheets>
    <sheet name="WPU c ДК пл классик." sheetId="1" r:id="rId1"/>
    <sheet name="WPU c ДК пл безэк." sheetId="2" r:id="rId2"/>
    <sheet name="WPU c ДК пл в одн сл. эк." sheetId="3" r:id="rId3"/>
    <sheet name="WPU c ДК жим безэк." sheetId="4" r:id="rId4"/>
    <sheet name="WPU c ДК жим в одн сл. эк." sheetId="5" r:id="rId5"/>
    <sheet name="WPU c ДК жим в мн сл. эк." sheetId="6" r:id="rId6"/>
    <sheet name="WPU c ДК тяга без эк." sheetId="7" r:id="rId7"/>
    <sheet name="WPU c ДК тяга в одн сл. эк." sheetId="8" r:id="rId8"/>
    <sheet name="WPU пл классик." sheetId="9" r:id="rId9"/>
    <sheet name="WPU пл безэк." sheetId="10" r:id="rId10"/>
    <sheet name="WPU пл в одн сл. эк." sheetId="11" r:id="rId11"/>
    <sheet name="WPU пл в мн сл. эк." sheetId="12" r:id="rId12"/>
    <sheet name="WPU жим безэк." sheetId="13" r:id="rId13"/>
    <sheet name="WPU жим в одн сл. эк." sheetId="14" r:id="rId14"/>
    <sheet name="WPU жим в мн сл. эк." sheetId="15" r:id="rId15"/>
    <sheet name="WPU тяга без эк." sheetId="16" r:id="rId16"/>
    <sheet name="WPU тяга в одн сл. эк." sheetId="17" r:id="rId17"/>
    <sheet name="WPU тяга в мн сл. эк." sheetId="18" r:id="rId18"/>
    <sheet name="WPU с ДК НЖ 1_2 вес" sheetId="19" r:id="rId19"/>
    <sheet name="WPU с ДК НЖ 1 вес" sheetId="20" r:id="rId20"/>
    <sheet name="WPU НЖ 1 вес" sheetId="21" r:id="rId21"/>
  </sheets>
  <definedNames/>
  <calcPr fullCalcOnLoad="1"/>
</workbook>
</file>

<file path=xl/sharedStrings.xml><?xml version="1.0" encoding="utf-8"?>
<sst xmlns="http://schemas.openxmlformats.org/spreadsheetml/2006/main" count="6333" uniqueCount="1900">
  <si>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</si>
  <si>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</si>
  <si>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</si>
  <si>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</si>
  <si>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</si>
  <si>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</si>
  <si>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</si>
  <si>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</si>
  <si>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</si>
  <si>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Возр груп
Год. р./Возраст</t>
  </si>
  <si>
    <t>Город/область</t>
  </si>
  <si>
    <t>Соб.
Вес</t>
  </si>
  <si>
    <t>Wilks</t>
  </si>
  <si>
    <t>ВЕСОВАЯ КАТЕГОРИЯ   82.5</t>
  </si>
  <si>
    <t>Мамедов Тимур</t>
  </si>
  <si>
    <t>1. Мамедов Тимур</t>
  </si>
  <si>
    <t>Открытая (10.05.1983)/34</t>
  </si>
  <si>
    <t>82,50</t>
  </si>
  <si>
    <t xml:space="preserve">Москва </t>
  </si>
  <si>
    <t xml:space="preserve">Москва/ </t>
  </si>
  <si>
    <t>210,0</t>
  </si>
  <si>
    <t>225,0</t>
  </si>
  <si>
    <t>240,0</t>
  </si>
  <si>
    <t>145,0</t>
  </si>
  <si>
    <t>155,0</t>
  </si>
  <si>
    <t>165,0</t>
  </si>
  <si>
    <t>235,0</t>
  </si>
  <si>
    <t>245,0</t>
  </si>
  <si>
    <t>255,0</t>
  </si>
  <si>
    <t xml:space="preserve"> </t>
  </si>
  <si>
    <t>ВЕСОВАЯ КАТЕГОРИЯ   100</t>
  </si>
  <si>
    <t>1. Мелихов Дмитрий</t>
  </si>
  <si>
    <t>Открытая (19.09.1979)/38</t>
  </si>
  <si>
    <t>95,80</t>
  </si>
  <si>
    <t xml:space="preserve">Московская </t>
  </si>
  <si>
    <t xml:space="preserve">Фрязино/Московская область </t>
  </si>
  <si>
    <t>207,5</t>
  </si>
  <si>
    <t>220,0</t>
  </si>
  <si>
    <t>232,5</t>
  </si>
  <si>
    <t>140,0</t>
  </si>
  <si>
    <t>147,5</t>
  </si>
  <si>
    <t>152,5</t>
  </si>
  <si>
    <t>215,0</t>
  </si>
  <si>
    <t>252,5</t>
  </si>
  <si>
    <t xml:space="preserve">Евдокушин С.П. </t>
  </si>
  <si>
    <t>ВЕСОВАЯ КАТЕГОРИЯ   110</t>
  </si>
  <si>
    <t>1. Сазонов Павел</t>
  </si>
  <si>
    <t>Открытая (08.06.1986)/31</t>
  </si>
  <si>
    <t>105,80</t>
  </si>
  <si>
    <t>250,0</t>
  </si>
  <si>
    <t>162,5</t>
  </si>
  <si>
    <t>167,5</t>
  </si>
  <si>
    <t>265,0</t>
  </si>
  <si>
    <t>275,0</t>
  </si>
  <si>
    <t>282,5</t>
  </si>
  <si>
    <t>2. Лавров Дмитрий</t>
  </si>
  <si>
    <t>Открытая (08.01.1979)/38</t>
  </si>
  <si>
    <t>109,60</t>
  </si>
  <si>
    <t xml:space="preserve">Нижегородская </t>
  </si>
  <si>
    <t xml:space="preserve">Нижний Новгород/Нижегородская </t>
  </si>
  <si>
    <t>230,0</t>
  </si>
  <si>
    <t>180,0</t>
  </si>
  <si>
    <t>190,0</t>
  </si>
  <si>
    <t>195,0</t>
  </si>
  <si>
    <t>200,0</t>
  </si>
  <si>
    <t xml:space="preserve">Мельников В. </t>
  </si>
  <si>
    <t>ВЕСОВАЯ КАТЕГОРИЯ   140</t>
  </si>
  <si>
    <t>1. Маркин Николай</t>
  </si>
  <si>
    <t>Открытая (14.03.1981)/36</t>
  </si>
  <si>
    <t>131,00</t>
  </si>
  <si>
    <t>247,5</t>
  </si>
  <si>
    <t>237,5</t>
  </si>
  <si>
    <t>260,0</t>
  </si>
  <si>
    <t xml:space="preserve">Суровецкий А.Е.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</si>
  <si>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</si>
  <si>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</si>
  <si>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</si>
  <si>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</si>
  <si>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</si>
  <si>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</si>
  <si>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</si>
  <si>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</si>
  <si>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</si>
  <si>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</si>
  <si>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</si>
  <si>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</si>
  <si>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</si>
  <si>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82,5</t>
  </si>
  <si>
    <t>650,0</t>
  </si>
  <si>
    <t>435,4350</t>
  </si>
  <si>
    <t>110,0</t>
  </si>
  <si>
    <t>100,0</t>
  </si>
  <si>
    <t>ВЕСОВАЯ КАТЕГОРИЯ   56</t>
  </si>
  <si>
    <t>1. Рыдкина Елена</t>
  </si>
  <si>
    <t>Открытая (06.06.1981)/36</t>
  </si>
  <si>
    <t>54,50</t>
  </si>
  <si>
    <t>130,0</t>
  </si>
  <si>
    <t>50,0</t>
  </si>
  <si>
    <t>55,0</t>
  </si>
  <si>
    <t>57,5</t>
  </si>
  <si>
    <t>120,0</t>
  </si>
  <si>
    <t>127,5</t>
  </si>
  <si>
    <t xml:space="preserve">Аблаева В. </t>
  </si>
  <si>
    <t>ВЕСОВАЯ КАТЕГОРИЯ   60</t>
  </si>
  <si>
    <t>1. Михайлова Ирина</t>
  </si>
  <si>
    <t>Открытая (10.03.1983)/34</t>
  </si>
  <si>
    <t>59,20</t>
  </si>
  <si>
    <t xml:space="preserve">Нахабино/Московская область </t>
  </si>
  <si>
    <t>45,0</t>
  </si>
  <si>
    <t>125,0</t>
  </si>
  <si>
    <t>ВЕСОВАЯ КАТЕГОРИЯ   67.5</t>
  </si>
  <si>
    <t>1. Нетребина Галина</t>
  </si>
  <si>
    <t>Открытая (07.07.1978)/39</t>
  </si>
  <si>
    <t>66,20</t>
  </si>
  <si>
    <t>150,0</t>
  </si>
  <si>
    <t>160,0</t>
  </si>
  <si>
    <t>70,0</t>
  </si>
  <si>
    <t>77,5</t>
  </si>
  <si>
    <t>170,0</t>
  </si>
  <si>
    <t xml:space="preserve">Марченко В.В. </t>
  </si>
  <si>
    <t>2. Григорьева Ольга</t>
  </si>
  <si>
    <t>Открытая (17.02.1985)/32</t>
  </si>
  <si>
    <t>63,90</t>
  </si>
  <si>
    <t>135,0</t>
  </si>
  <si>
    <t>65,0</t>
  </si>
  <si>
    <t>75,0</t>
  </si>
  <si>
    <t>132,5</t>
  </si>
  <si>
    <t xml:space="preserve">Мокин А.А. </t>
  </si>
  <si>
    <t>ВЕСОВАЯ КАТЕГОРИЯ   75</t>
  </si>
  <si>
    <t>-. Филимонова Татьяна</t>
  </si>
  <si>
    <t>Ветераны 45 - 49 (07.03.1968)/49</t>
  </si>
  <si>
    <t>73,60</t>
  </si>
  <si>
    <t xml:space="preserve">Реутов/Московская область </t>
  </si>
  <si>
    <t>95,0</t>
  </si>
  <si>
    <t>105,0</t>
  </si>
  <si>
    <t xml:space="preserve">Лазариди Г. </t>
  </si>
  <si>
    <t>1. Теменко Павел</t>
  </si>
  <si>
    <t>Юниоры 20 - 23 (25.09.1994)/23</t>
  </si>
  <si>
    <t>76,40</t>
  </si>
  <si>
    <t>102,5</t>
  </si>
  <si>
    <t>1. Скопцов Сергей</t>
  </si>
  <si>
    <t>Открытая (01.11.1986)/31</t>
  </si>
  <si>
    <t>81,50</t>
  </si>
  <si>
    <t>197,5</t>
  </si>
  <si>
    <t>122,5</t>
  </si>
  <si>
    <t>1. Ягунов Алексей</t>
  </si>
  <si>
    <t>Ветераны 45 - 49 (19.07.1968)/49</t>
  </si>
  <si>
    <t>81,70</t>
  </si>
  <si>
    <t xml:space="preserve">Алышев Н.В. </t>
  </si>
  <si>
    <t>1. Молочков Алексей</t>
  </si>
  <si>
    <t>Ветераны 55 - 59 (08.08.1962)/55</t>
  </si>
  <si>
    <t>175,0</t>
  </si>
  <si>
    <t>185,0</t>
  </si>
  <si>
    <t>212,5</t>
  </si>
  <si>
    <t xml:space="preserve">Антипов Д.В. </t>
  </si>
  <si>
    <t>ВЕСОВАЯ КАТЕГОРИЯ   90</t>
  </si>
  <si>
    <t>1. Бубин Андрей</t>
  </si>
  <si>
    <t>Открытая (08.06.1981)/36</t>
  </si>
  <si>
    <t>89,10</t>
  </si>
  <si>
    <t xml:space="preserve">Сергиев Посад/Московская область </t>
  </si>
  <si>
    <t>270,0</t>
  </si>
  <si>
    <t>285,0</t>
  </si>
  <si>
    <t>295,0</t>
  </si>
  <si>
    <t xml:space="preserve">Чумичев С. </t>
  </si>
  <si>
    <t>1. Гюрджиди Александр</t>
  </si>
  <si>
    <t>Ветераны 40 - 44 (12.07.1974)/43</t>
  </si>
  <si>
    <t>89,70</t>
  </si>
  <si>
    <t xml:space="preserve">Балашиха/Московская область </t>
  </si>
  <si>
    <t>222,5</t>
  </si>
  <si>
    <t>1. Виноградов Сергей</t>
  </si>
  <si>
    <t>Ветераны 45 - 49 (27.06.1970)/47</t>
  </si>
  <si>
    <t>89,30</t>
  </si>
  <si>
    <t>1. Дубровин Николай</t>
  </si>
  <si>
    <t>Открытая (19.06.1987)/30</t>
  </si>
  <si>
    <t>99,00</t>
  </si>
  <si>
    <t>280,0</t>
  </si>
  <si>
    <t>290,0</t>
  </si>
  <si>
    <t>187,5</t>
  </si>
  <si>
    <t>287,5</t>
  </si>
  <si>
    <t xml:space="preserve">Мишта Ю.П. </t>
  </si>
  <si>
    <t>2. Крошкин Роман</t>
  </si>
  <si>
    <t>Открытая (09.02.1981)/36</t>
  </si>
  <si>
    <t>95,00</t>
  </si>
  <si>
    <t xml:space="preserve">Подольск/Московская область </t>
  </si>
  <si>
    <t xml:space="preserve">Филиппов И. </t>
  </si>
  <si>
    <t>-. Кименшу Сергей</t>
  </si>
  <si>
    <t>Открытая (19.12.1982)/34</t>
  </si>
  <si>
    <t>96,70</t>
  </si>
  <si>
    <t>137,5</t>
  </si>
  <si>
    <t xml:space="preserve">Абдуллин М.Р. </t>
  </si>
  <si>
    <t>Рендоренко Олег</t>
  </si>
  <si>
    <t>1. Рендоренко Олег</t>
  </si>
  <si>
    <t>Открытая (09.07.1991)/26</t>
  </si>
  <si>
    <t>108,50</t>
  </si>
  <si>
    <t>300,0</t>
  </si>
  <si>
    <t>322,5</t>
  </si>
  <si>
    <t>330,0</t>
  </si>
  <si>
    <t>172,5</t>
  </si>
  <si>
    <t>177,5</t>
  </si>
  <si>
    <t>310,0</t>
  </si>
  <si>
    <t xml:space="preserve">Румянцев С.В. </t>
  </si>
  <si>
    <t>2. Мищенко Сергей</t>
  </si>
  <si>
    <t>Открытая (21.07.1988)/29</t>
  </si>
  <si>
    <t>107,90</t>
  </si>
  <si>
    <t>3. Дроздов Александр</t>
  </si>
  <si>
    <t>Открытая (09.02.1980)/37</t>
  </si>
  <si>
    <t>ВЕСОВАЯ КАТЕГОРИЯ   125</t>
  </si>
  <si>
    <t>Дрожжин Андрей</t>
  </si>
  <si>
    <t>1. Дрожжин Андрей</t>
  </si>
  <si>
    <t>Открытая (21.11.1977)/40</t>
  </si>
  <si>
    <t>118,20</t>
  </si>
  <si>
    <t xml:space="preserve">Хотьково/Московская область </t>
  </si>
  <si>
    <t xml:space="preserve">Мамичева Е. </t>
  </si>
  <si>
    <t>Ветераны 40 - 44 (21.11.1977)/40</t>
  </si>
  <si>
    <t>2. Романов Александр</t>
  </si>
  <si>
    <t>Ветераны 40 - 44 (02.02.1973)/44</t>
  </si>
  <si>
    <t>114,00</t>
  </si>
  <si>
    <t>1. Чичикин Андрей</t>
  </si>
  <si>
    <t>Ветераны 60 - 64 (18.05.1957)/60</t>
  </si>
  <si>
    <t>112,30</t>
  </si>
  <si>
    <t xml:space="preserve">Клин/Московская область </t>
  </si>
  <si>
    <t>107,5</t>
  </si>
  <si>
    <t>115,0</t>
  </si>
  <si>
    <t xml:space="preserve">Женщины </t>
  </si>
  <si>
    <t>67,5</t>
  </si>
  <si>
    <t>60,0</t>
  </si>
  <si>
    <t xml:space="preserve">Юниоры </t>
  </si>
  <si>
    <t xml:space="preserve">Юниоры 20 - 23 </t>
  </si>
  <si>
    <t>812,5</t>
  </si>
  <si>
    <t>480,1875</t>
  </si>
  <si>
    <t>825,0</t>
  </si>
  <si>
    <t>476,0250</t>
  </si>
  <si>
    <t>90,0</t>
  </si>
  <si>
    <t xml:space="preserve">Ветераны </t>
  </si>
  <si>
    <t xml:space="preserve">Ветераны 40 - 44 </t>
  </si>
  <si>
    <t xml:space="preserve">Ветераны 55 - 59 </t>
  </si>
  <si>
    <t>1. Магомадов Руслан</t>
  </si>
  <si>
    <t>Ветераны 50 - 54 (01.01.1964)/53</t>
  </si>
  <si>
    <t>98,20</t>
  </si>
  <si>
    <t xml:space="preserve">Шабалин Д.А. </t>
  </si>
  <si>
    <t>1. Шабалин Дмитрий</t>
  </si>
  <si>
    <t>Ветераны 45 - 49 (19.01.1969)/48</t>
  </si>
  <si>
    <t>135,50</t>
  </si>
  <si>
    <t>320,0</t>
  </si>
  <si>
    <t>305,0</t>
  </si>
  <si>
    <t xml:space="preserve">Ветераны 50 - 54 </t>
  </si>
  <si>
    <t>-. Тарасов Артём</t>
  </si>
  <si>
    <t>Открытая (31.07.1992)/25</t>
  </si>
  <si>
    <t>88,90</t>
  </si>
  <si>
    <t>1. Лазуренко Ольга</t>
  </si>
  <si>
    <t>Открытая (05.09.1971)/46</t>
  </si>
  <si>
    <t>64,30</t>
  </si>
  <si>
    <t xml:space="preserve">Воронежская </t>
  </si>
  <si>
    <t xml:space="preserve">Воронеж/Воронежская область </t>
  </si>
  <si>
    <t>117,5</t>
  </si>
  <si>
    <t>2. Власова Надежда</t>
  </si>
  <si>
    <t>Открытая (24.01.1982)/35</t>
  </si>
  <si>
    <t>64,40</t>
  </si>
  <si>
    <t>112,5</t>
  </si>
  <si>
    <t xml:space="preserve">Калита И.В. </t>
  </si>
  <si>
    <t>3. Корецкая Мария</t>
  </si>
  <si>
    <t>Открытая (11.10.1981)/36</t>
  </si>
  <si>
    <t>62,50</t>
  </si>
  <si>
    <t>92,5</t>
  </si>
  <si>
    <t>4. Ахметова Елена</t>
  </si>
  <si>
    <t>Открытая (05.07.1991)/26</t>
  </si>
  <si>
    <t>67,00</t>
  </si>
  <si>
    <t xml:space="preserve">Именьев А. </t>
  </si>
  <si>
    <t>1. Каражан Нурсултан</t>
  </si>
  <si>
    <t>Юноши 16 - 19 (21.01.1998)/19</t>
  </si>
  <si>
    <t xml:space="preserve">Монахова М. </t>
  </si>
  <si>
    <t>2. Архаров Егор</t>
  </si>
  <si>
    <t>Юноши 16 - 19 (24.12.1998)/18</t>
  </si>
  <si>
    <t>65,00</t>
  </si>
  <si>
    <t xml:space="preserve">Лесной/Московская область </t>
  </si>
  <si>
    <t>97,5</t>
  </si>
  <si>
    <t xml:space="preserve">Бусов А.Б. </t>
  </si>
  <si>
    <t>1. Румянцев Александр</t>
  </si>
  <si>
    <t>Открытая (26.06.1991)/26</t>
  </si>
  <si>
    <t>65,70</t>
  </si>
  <si>
    <t xml:space="preserve">Селятино/Московская область </t>
  </si>
  <si>
    <t>80,0</t>
  </si>
  <si>
    <t>85,0</t>
  </si>
  <si>
    <t xml:space="preserve">Тимченко С.С. </t>
  </si>
  <si>
    <t>1. Бердников Владимир</t>
  </si>
  <si>
    <t>Открытая (25.02.1987)/30</t>
  </si>
  <si>
    <t>74,50</t>
  </si>
  <si>
    <t xml:space="preserve">Видное/Московская область </t>
  </si>
  <si>
    <t>142,5</t>
  </si>
  <si>
    <t xml:space="preserve">Мусихин Ю. </t>
  </si>
  <si>
    <t>2. Латушкин Артем</t>
  </si>
  <si>
    <t>Открытая (07.03.1982)/35</t>
  </si>
  <si>
    <t>73,80</t>
  </si>
  <si>
    <t>1. Мещеряков Андрей</t>
  </si>
  <si>
    <t>Ветераны 50 - 54 (28.10.1965)/52</t>
  </si>
  <si>
    <t>75,00</t>
  </si>
  <si>
    <t>1. Сюта Алексей</t>
  </si>
  <si>
    <t>Открытая (12.12.1979)/38</t>
  </si>
  <si>
    <t>78,80</t>
  </si>
  <si>
    <t xml:space="preserve">Омская </t>
  </si>
  <si>
    <t xml:space="preserve">Омск/Омская область </t>
  </si>
  <si>
    <t xml:space="preserve">Манцеров А.А. </t>
  </si>
  <si>
    <t>2. Кечкин Арсений</t>
  </si>
  <si>
    <t>Открытая (28.02.1989)/28</t>
  </si>
  <si>
    <t>81,80</t>
  </si>
  <si>
    <t>157,5</t>
  </si>
  <si>
    <t>3. Панкратов Алексей</t>
  </si>
  <si>
    <t>Открытая (24.03.1991)/26</t>
  </si>
  <si>
    <t xml:space="preserve">Владимирская </t>
  </si>
  <si>
    <t xml:space="preserve">Киржач/Владимирская область </t>
  </si>
  <si>
    <t>4. Чайка Кирилл</t>
  </si>
  <si>
    <t>Открытая (13.06.1989)/28</t>
  </si>
  <si>
    <t xml:space="preserve">Исаев А. </t>
  </si>
  <si>
    <t>1. Савостьянов Алексей</t>
  </si>
  <si>
    <t>Юниоры 20 - 23 (21.02.1994)/23</t>
  </si>
  <si>
    <t>88,60</t>
  </si>
  <si>
    <t xml:space="preserve">Томилино/Московская область </t>
  </si>
  <si>
    <t>Тимченко Сергей</t>
  </si>
  <si>
    <t>1. Тимченко Сергей</t>
  </si>
  <si>
    <t>Открытая (23.12.1979)/37</t>
  </si>
  <si>
    <t>88,20</t>
  </si>
  <si>
    <t>205,0</t>
  </si>
  <si>
    <t xml:space="preserve">Тимченко Ю. </t>
  </si>
  <si>
    <t>2. Баймешев Эдуард</t>
  </si>
  <si>
    <t>Открытая (26.08.1991)/26</t>
  </si>
  <si>
    <t>87,10</t>
  </si>
  <si>
    <t>182,5</t>
  </si>
  <si>
    <t xml:space="preserve">Машкевич В.Л. </t>
  </si>
  <si>
    <t>3. Коробков Михаил</t>
  </si>
  <si>
    <t>Открытая (08.03.1989)/28</t>
  </si>
  <si>
    <t>89,50</t>
  </si>
  <si>
    <t>4. Тихомиров Константин</t>
  </si>
  <si>
    <t>Открытая (10.07.1982)/35</t>
  </si>
  <si>
    <t>86,50</t>
  </si>
  <si>
    <t xml:space="preserve">Пушкино/Московская область </t>
  </si>
  <si>
    <t xml:space="preserve">Цыганков А.В. </t>
  </si>
  <si>
    <t>1. Костев Николай</t>
  </si>
  <si>
    <t>Ветераны 55 - 59 (17.12.1959)/58</t>
  </si>
  <si>
    <t>85,30</t>
  </si>
  <si>
    <t>Шамин Сергей</t>
  </si>
  <si>
    <t>1. Шамин Сергей</t>
  </si>
  <si>
    <t>Открытая (27.01.1983)/34</t>
  </si>
  <si>
    <t>98,30</t>
  </si>
  <si>
    <t xml:space="preserve">Щелково-3/Московская </t>
  </si>
  <si>
    <t>217,5</t>
  </si>
  <si>
    <t xml:space="preserve">Шамин А.К. </t>
  </si>
  <si>
    <t>2. Озеров Алексей</t>
  </si>
  <si>
    <t>Открытая (23.08.1983)/34</t>
  </si>
  <si>
    <t>97,50</t>
  </si>
  <si>
    <t>3. Кухневский Андрей</t>
  </si>
  <si>
    <t>Открытая (30.11.1981)/36</t>
  </si>
  <si>
    <t>100,00</t>
  </si>
  <si>
    <t xml:space="preserve">Ивантеевка/Московская область </t>
  </si>
  <si>
    <t xml:space="preserve">Чевордаев В.А. </t>
  </si>
  <si>
    <t>4. Ковшин Эдуард</t>
  </si>
  <si>
    <t>Открытая (19.01.1990)/27</t>
  </si>
  <si>
    <t>98,50</t>
  </si>
  <si>
    <t>5. Гаврилюк Сергей</t>
  </si>
  <si>
    <t>Открытая (02.09.1988)/29</t>
  </si>
  <si>
    <t>91,10</t>
  </si>
  <si>
    <t>6. Киселёв Егор</t>
  </si>
  <si>
    <t>Открытая (20.03.2006)/11</t>
  </si>
  <si>
    <t>91,00</t>
  </si>
  <si>
    <t xml:space="preserve">Мишенин С.В. </t>
  </si>
  <si>
    <t>1. Котов Николай</t>
  </si>
  <si>
    <t>Ветераны 40 - 44 (12.07.1975)/42</t>
  </si>
  <si>
    <t>99,10</t>
  </si>
  <si>
    <t xml:space="preserve">Мытищи/Московская область </t>
  </si>
  <si>
    <t xml:space="preserve">Игамов Ш.Ш. </t>
  </si>
  <si>
    <t>1. Шинов Игорь</t>
  </si>
  <si>
    <t>Ветераны 45 - 49 (17.06.1970)/47</t>
  </si>
  <si>
    <t>97,10</t>
  </si>
  <si>
    <t xml:space="preserve">Щелково/Московская область </t>
  </si>
  <si>
    <t>2. Ашмаров Сергей</t>
  </si>
  <si>
    <t>Ветераны 45 - 49 (01.03.1972)/45</t>
  </si>
  <si>
    <t xml:space="preserve">Тихонов О.Н. </t>
  </si>
  <si>
    <t>Алиев Натиг</t>
  </si>
  <si>
    <t>1. Алиев Натиг</t>
  </si>
  <si>
    <t>Ветераны 50 - 54 (07.02.1964)/53</t>
  </si>
  <si>
    <t>97,40</t>
  </si>
  <si>
    <t>Трунов Иван</t>
  </si>
  <si>
    <t>1. Трунов Иван</t>
  </si>
  <si>
    <t>Открытая (10.10.1980)/37</t>
  </si>
  <si>
    <t>106,90</t>
  </si>
  <si>
    <t xml:space="preserve">Богородск/Нижегородская область </t>
  </si>
  <si>
    <t>2. Рогатин Дмитрий</t>
  </si>
  <si>
    <t>Открытая (09.12.1984)/33</t>
  </si>
  <si>
    <t>109,40</t>
  </si>
  <si>
    <t>3. Хомутов Михаил</t>
  </si>
  <si>
    <t>Открытая (28.04.1981)/36</t>
  </si>
  <si>
    <t>106,30</t>
  </si>
  <si>
    <t xml:space="preserve">Павлово/Нижегородская область </t>
  </si>
  <si>
    <t xml:space="preserve">Петров А. </t>
  </si>
  <si>
    <t>4. Тарасов Игорь</t>
  </si>
  <si>
    <t>Открытая (30.09.1992)/25</t>
  </si>
  <si>
    <t>101,00</t>
  </si>
  <si>
    <t xml:space="preserve">Хомутов М.М. </t>
  </si>
  <si>
    <t>5. Солдатов Игорь</t>
  </si>
  <si>
    <t>Открытая (24.01.1985)/32</t>
  </si>
  <si>
    <t>105,40</t>
  </si>
  <si>
    <t xml:space="preserve">Владимир/Владимирская область </t>
  </si>
  <si>
    <t>6. Лысов Алексей</t>
  </si>
  <si>
    <t>Открытая (19.11.1980)/37</t>
  </si>
  <si>
    <t>108,10</t>
  </si>
  <si>
    <t>1. Горбачев Дмитрий</t>
  </si>
  <si>
    <t>Ветераны 40 - 44 (09.11.1976)/41</t>
  </si>
  <si>
    <t>104,90</t>
  </si>
  <si>
    <t>-. Прокудин Дмитрий</t>
  </si>
  <si>
    <t>Ветераны 40 - 44 (09.04.1974)/43</t>
  </si>
  <si>
    <t>107,10</t>
  </si>
  <si>
    <t>1. Рассказихин Дмитрий</t>
  </si>
  <si>
    <t>Ветераны 45 - 49 (13.02.1969)/48</t>
  </si>
  <si>
    <t>101,90</t>
  </si>
  <si>
    <t xml:space="preserve">Сумин А. </t>
  </si>
  <si>
    <t>2. Тихонов Олег</t>
  </si>
  <si>
    <t>Ветераны 45 - 49 (21.08.1969)/48</t>
  </si>
  <si>
    <t>107,00</t>
  </si>
  <si>
    <t xml:space="preserve">Зеленоград/Московская область </t>
  </si>
  <si>
    <t>1. Голованов Игорь</t>
  </si>
  <si>
    <t>Открытая (04.11.1983)/34</t>
  </si>
  <si>
    <t>117,50</t>
  </si>
  <si>
    <t xml:space="preserve">Одинцово/Московская область </t>
  </si>
  <si>
    <t>2. Терентьев Игорь</t>
  </si>
  <si>
    <t>Открытая (27.10.1979)/38</t>
  </si>
  <si>
    <t>110,20</t>
  </si>
  <si>
    <t xml:space="preserve">Тихонов О. </t>
  </si>
  <si>
    <t>1. Хаяркин Евгений</t>
  </si>
  <si>
    <t>Ветераны 45 - 49 (10.02.1972)/45</t>
  </si>
  <si>
    <t>114,60</t>
  </si>
  <si>
    <t>141,9220</t>
  </si>
  <si>
    <t>136,5970</t>
  </si>
  <si>
    <t>134,8380</t>
  </si>
  <si>
    <t>138,3954</t>
  </si>
  <si>
    <t>Результат</t>
  </si>
  <si>
    <t>1. Смоленцева Ирина</t>
  </si>
  <si>
    <t>Открытая (10.02.1988)/29</t>
  </si>
  <si>
    <t xml:space="preserve">Филатов В. </t>
  </si>
  <si>
    <t>-. Карпов Денис</t>
  </si>
  <si>
    <t>Открытая (20.04.1981)/36</t>
  </si>
  <si>
    <t>98,70</t>
  </si>
  <si>
    <t xml:space="preserve">Соколов Н.Д. </t>
  </si>
  <si>
    <t>1. Филин Илья</t>
  </si>
  <si>
    <t>Открытая (16.08.1988)/29</t>
  </si>
  <si>
    <t>87,00</t>
  </si>
  <si>
    <t>262,5</t>
  </si>
  <si>
    <t>1. Терехов Роман</t>
  </si>
  <si>
    <t>Открытая (07.08.1981)/36</t>
  </si>
  <si>
    <t xml:space="preserve">Филатов В.Г. </t>
  </si>
  <si>
    <t>-. Брехов Роман</t>
  </si>
  <si>
    <t>Открытая (24.02.1990)/27</t>
  </si>
  <si>
    <t>114,30</t>
  </si>
  <si>
    <t>302,5</t>
  </si>
  <si>
    <t xml:space="preserve">Соловьёв В. </t>
  </si>
  <si>
    <t>1. Семенова Ксения</t>
  </si>
  <si>
    <t>Открытая (22.03.1987)/30</t>
  </si>
  <si>
    <t>56,00</t>
  </si>
  <si>
    <t>1. Борисова Ирина</t>
  </si>
  <si>
    <t>Открытая (07.12.1981)/36</t>
  </si>
  <si>
    <t>58,90</t>
  </si>
  <si>
    <t>1. Пырсина Юлия</t>
  </si>
  <si>
    <t>Открытая (09.05.1985)/32</t>
  </si>
  <si>
    <t>65,10</t>
  </si>
  <si>
    <t>2. Асабина Ирина</t>
  </si>
  <si>
    <t>Открытая (09.08.1982)/35</t>
  </si>
  <si>
    <t>64,90</t>
  </si>
  <si>
    <t>3. Ахметова Елена</t>
  </si>
  <si>
    <t>4. Ивашкина Елена</t>
  </si>
  <si>
    <t>Открытая (10.03.1986)/31</t>
  </si>
  <si>
    <t>62,10</t>
  </si>
  <si>
    <t>Аблаева Виктория</t>
  </si>
  <si>
    <t>1. Аблаева Виктория</t>
  </si>
  <si>
    <t>Открытая (08.05.1983)/34</t>
  </si>
  <si>
    <t>71,20</t>
  </si>
  <si>
    <t>2. Суржицкая Лия</t>
  </si>
  <si>
    <t>Открытая (23.01.1999)/18</t>
  </si>
  <si>
    <t>71,70</t>
  </si>
  <si>
    <t>1. Акаев Рохман</t>
  </si>
  <si>
    <t>Открытая (13.07.1993)/24</t>
  </si>
  <si>
    <t>74,30</t>
  </si>
  <si>
    <t xml:space="preserve">Чечня </t>
  </si>
  <si>
    <t xml:space="preserve">Грозный/Чечня </t>
  </si>
  <si>
    <t>Зубков Павел</t>
  </si>
  <si>
    <t>1. Зубков Павел</t>
  </si>
  <si>
    <t>Открытая (22.12.1985)/31</t>
  </si>
  <si>
    <t>82,00</t>
  </si>
  <si>
    <t xml:space="preserve">Липецкая </t>
  </si>
  <si>
    <t xml:space="preserve">Чаплыгин/Липецкая область </t>
  </si>
  <si>
    <t>272,5</t>
  </si>
  <si>
    <t>2. Зуев Михаил</t>
  </si>
  <si>
    <t>Открытая (25.04.1985)/32</t>
  </si>
  <si>
    <t>81,20</t>
  </si>
  <si>
    <t xml:space="preserve">Талдом/Московская область </t>
  </si>
  <si>
    <t>3. Денисов Андрей</t>
  </si>
  <si>
    <t>Открытая (29.06.1980)/37</t>
  </si>
  <si>
    <t>81,40</t>
  </si>
  <si>
    <t xml:space="preserve">Желудев В. </t>
  </si>
  <si>
    <t>1. Егоров Иван</t>
  </si>
  <si>
    <t>Юноши 16 - 19 (22.11.1998)/19</t>
  </si>
  <si>
    <t>87,50</t>
  </si>
  <si>
    <t>1. Терещенко Владимир</t>
  </si>
  <si>
    <t>Открытая (29.07.1982)/35</t>
  </si>
  <si>
    <t>82,80</t>
  </si>
  <si>
    <t xml:space="preserve">Стефанцов В. </t>
  </si>
  <si>
    <t>1. Спицын Радий</t>
  </si>
  <si>
    <t>Открытая (09.06.1981)/36</t>
  </si>
  <si>
    <t>95,40</t>
  </si>
  <si>
    <t>1. Мартусь Сергей</t>
  </si>
  <si>
    <t>Ветераны 40 - 44 (01.07.1977)/40</t>
  </si>
  <si>
    <t>98,40</t>
  </si>
  <si>
    <t>1. Незнамов Максим</t>
  </si>
  <si>
    <t>Открытая (21.02.1977)/40</t>
  </si>
  <si>
    <t>107,80</t>
  </si>
  <si>
    <t xml:space="preserve">Акулово/Московская область </t>
  </si>
  <si>
    <t>277,5</t>
  </si>
  <si>
    <t>292,5</t>
  </si>
  <si>
    <t>1. Смирнов Алексей</t>
  </si>
  <si>
    <t>Ветераны 40 - 44 (20.09.1977)/40</t>
  </si>
  <si>
    <t>104,40</t>
  </si>
  <si>
    <t>1. Федоренко Алексей</t>
  </si>
  <si>
    <t>Юниоры 20 - 23 (02.06.1996)/21</t>
  </si>
  <si>
    <t>119,20</t>
  </si>
  <si>
    <t xml:space="preserve">Химки/Московская область </t>
  </si>
  <si>
    <t>267,5</t>
  </si>
  <si>
    <t>1. Потолицын Илья</t>
  </si>
  <si>
    <t>Открытая (19.05.1991)/26</t>
  </si>
  <si>
    <t>119,40</t>
  </si>
  <si>
    <t xml:space="preserve">Красногорск/Московская область </t>
  </si>
  <si>
    <t xml:space="preserve">Хлопунов Д. </t>
  </si>
  <si>
    <t>2. Федоренко Алексей</t>
  </si>
  <si>
    <t>Открытая (02.06.1996)/21</t>
  </si>
  <si>
    <t>1. Сахаров Григорий</t>
  </si>
  <si>
    <t>Ветераны 40 - 44 (17.06.1977)/40</t>
  </si>
  <si>
    <t>126,40</t>
  </si>
  <si>
    <t xml:space="preserve">Семенова О.Г. </t>
  </si>
  <si>
    <t>206,5140</t>
  </si>
  <si>
    <t>198,3580</t>
  </si>
  <si>
    <t>1. Гематдинов Радик</t>
  </si>
  <si>
    <t>Открытая (19.02.1982)/35</t>
  </si>
  <si>
    <t>85,90</t>
  </si>
  <si>
    <t xml:space="preserve">Татарстан </t>
  </si>
  <si>
    <t xml:space="preserve">Казань/Татарстан </t>
  </si>
  <si>
    <t>317,5</t>
  </si>
  <si>
    <t xml:space="preserve">Неклюдов А.В. </t>
  </si>
  <si>
    <t>1. Мерзликин Сергей</t>
  </si>
  <si>
    <t>Открытая (30.04.1983)/34</t>
  </si>
  <si>
    <t>94,70</t>
  </si>
  <si>
    <t>1. Долгов Дмитрий</t>
  </si>
  <si>
    <t>Открытая (03.10.1986)/31</t>
  </si>
  <si>
    <t>116,20</t>
  </si>
  <si>
    <t>1. Герасименко Анатолий</t>
  </si>
  <si>
    <t>Открытая (02.08.1987)/30</t>
  </si>
  <si>
    <t>96,20</t>
  </si>
  <si>
    <t>ВЕСОВАЯ КАТЕГОРИЯ   48</t>
  </si>
  <si>
    <t>1. Дьяченко Маргарита</t>
  </si>
  <si>
    <t>Юниорки 20 - 23 (26.01.1995)/22</t>
  </si>
  <si>
    <t>45,50</t>
  </si>
  <si>
    <t>72,5</t>
  </si>
  <si>
    <t>37,5</t>
  </si>
  <si>
    <t>40,0</t>
  </si>
  <si>
    <t>42,5</t>
  </si>
  <si>
    <t xml:space="preserve">Лохадынов А.С. </t>
  </si>
  <si>
    <t>1. Ухарева Мария</t>
  </si>
  <si>
    <t>Открытая (03.05.1988)/29</t>
  </si>
  <si>
    <t>59,00</t>
  </si>
  <si>
    <t xml:space="preserve">Корнеев П.Н. </t>
  </si>
  <si>
    <t>2. Якушина Мария</t>
  </si>
  <si>
    <t>Открытая (14.10.1990)/27</t>
  </si>
  <si>
    <t>58,60</t>
  </si>
  <si>
    <t xml:space="preserve">Лохадынов А. </t>
  </si>
  <si>
    <t>-. Чупракова Екатерина</t>
  </si>
  <si>
    <t>Открытая (11.05.1982)/35</t>
  </si>
  <si>
    <t>59,50</t>
  </si>
  <si>
    <t xml:space="preserve">Клюев В.В. </t>
  </si>
  <si>
    <t>1. Ушакова Ольга</t>
  </si>
  <si>
    <t>Ветераны 40 - 44 (22.03.1974)/43</t>
  </si>
  <si>
    <t>66,40</t>
  </si>
  <si>
    <t>87,5</t>
  </si>
  <si>
    <t>52,5</t>
  </si>
  <si>
    <t xml:space="preserve">Сотников В. </t>
  </si>
  <si>
    <t>1. Сафарова Наталья</t>
  </si>
  <si>
    <t>72,40</t>
  </si>
  <si>
    <t>62,5</t>
  </si>
  <si>
    <t>2. Мюрис Мария</t>
  </si>
  <si>
    <t>Открытая (14.09.1990)/27</t>
  </si>
  <si>
    <t>74,90</t>
  </si>
  <si>
    <t xml:space="preserve">Романов Ю. </t>
  </si>
  <si>
    <t>1. Илов Артём</t>
  </si>
  <si>
    <t>Юноши 14 - 15 (08.01.2003)/14</t>
  </si>
  <si>
    <t>70,10</t>
  </si>
  <si>
    <t xml:space="preserve">Танаев А.Е. </t>
  </si>
  <si>
    <t>1. Орлов Сергей</t>
  </si>
  <si>
    <t>Открытая (12.06.1986)/31</t>
  </si>
  <si>
    <t>69,60</t>
  </si>
  <si>
    <t xml:space="preserve">Украина </t>
  </si>
  <si>
    <t xml:space="preserve">Киев/Украина </t>
  </si>
  <si>
    <t xml:space="preserve">Смирнов Д. </t>
  </si>
  <si>
    <t>Ганичкин Андрей</t>
  </si>
  <si>
    <t>1. Ганичкин Андрей</t>
  </si>
  <si>
    <t>Открытая (09.08.1984)/33</t>
  </si>
  <si>
    <t xml:space="preserve">Долгопрудный/Московская область </t>
  </si>
  <si>
    <t>2. Шкуренко Игорь</t>
  </si>
  <si>
    <t>Открытая (08.02.1989)/28</t>
  </si>
  <si>
    <t>80,30</t>
  </si>
  <si>
    <t>1. Семенов Александр</t>
  </si>
  <si>
    <t>Ветераны 40 - 44 (03.02.1977)/40</t>
  </si>
  <si>
    <t>82,30</t>
  </si>
  <si>
    <t>1. Гвоздев Алексей</t>
  </si>
  <si>
    <t>Ветераны 45 - 49 (27.03.1972)/45</t>
  </si>
  <si>
    <t>82,20</t>
  </si>
  <si>
    <t>-. Маркин Кирилл</t>
  </si>
  <si>
    <t>Открытая (26.01.1999)/18</t>
  </si>
  <si>
    <t>85,60</t>
  </si>
  <si>
    <t>1. Громов Павел</t>
  </si>
  <si>
    <t>Ветераны 40 - 44 (02.03.1976)/41</t>
  </si>
  <si>
    <t>86,10</t>
  </si>
  <si>
    <t>1. Мурзаханов Николай</t>
  </si>
  <si>
    <t>Ветераны 60 - 64 (29.07.1955)/62</t>
  </si>
  <si>
    <t>87,30</t>
  </si>
  <si>
    <t xml:space="preserve">Санкт-Петербург </t>
  </si>
  <si>
    <t xml:space="preserve">Санкт-Петербург/ </t>
  </si>
  <si>
    <t>1. Ветренко Михаил</t>
  </si>
  <si>
    <t>Юниоры 20 - 23 (14.10.1997)/20</t>
  </si>
  <si>
    <t xml:space="preserve">Истра/Московская область </t>
  </si>
  <si>
    <t>2. Зубков Никита</t>
  </si>
  <si>
    <t>Юниоры 20 - 23 (03.04.1995)/22</t>
  </si>
  <si>
    <t>99,30</t>
  </si>
  <si>
    <t xml:space="preserve">Люберцы/Московская область </t>
  </si>
  <si>
    <t xml:space="preserve">Смирнов Д.И. </t>
  </si>
  <si>
    <t>3. Галкин Максим</t>
  </si>
  <si>
    <t>Юниоры 20 - 23 (07.01.1994)/23</t>
  </si>
  <si>
    <t>95,10</t>
  </si>
  <si>
    <t xml:space="preserve">Акимов Д.С. </t>
  </si>
  <si>
    <t>1. Гостяев Александр</t>
  </si>
  <si>
    <t>Открытая (02.12.1982)/35</t>
  </si>
  <si>
    <t>97,30</t>
  </si>
  <si>
    <t>2. Михайлов Андрей</t>
  </si>
  <si>
    <t>Открытая (18.07.1983)/34</t>
  </si>
  <si>
    <t>94,20</t>
  </si>
  <si>
    <t xml:space="preserve">Кубинка/Московская область </t>
  </si>
  <si>
    <t>-. Обидин Евгений</t>
  </si>
  <si>
    <t>Открытая (28.06.1983)/34</t>
  </si>
  <si>
    <t>109,10</t>
  </si>
  <si>
    <t>595,0</t>
  </si>
  <si>
    <t>398,5905</t>
  </si>
  <si>
    <t>1. Киреева Анна</t>
  </si>
  <si>
    <t>Открытая (10.04.1991)/26</t>
  </si>
  <si>
    <t>48,00</t>
  </si>
  <si>
    <t xml:space="preserve">Правдинский/Московская область </t>
  </si>
  <si>
    <t xml:space="preserve">Иванов В.В. </t>
  </si>
  <si>
    <t>ВЕСОВАЯ КАТЕГОРИЯ   52</t>
  </si>
  <si>
    <t>1. Шестиглазова Алина</t>
  </si>
  <si>
    <t>Юниорки 20 - 23 (21.02.1995)/22</t>
  </si>
  <si>
    <t>52,00</t>
  </si>
  <si>
    <t xml:space="preserve">Румянцева С.В. </t>
  </si>
  <si>
    <t>1. Кривошапова Александра</t>
  </si>
  <si>
    <t>Открытая (19.08.1989)/28</t>
  </si>
  <si>
    <t>51,30</t>
  </si>
  <si>
    <t xml:space="preserve">Новгородская </t>
  </si>
  <si>
    <t xml:space="preserve">Великий Новгород/Новгородская область </t>
  </si>
  <si>
    <t xml:space="preserve">Друкер В.Б. </t>
  </si>
  <si>
    <t>1. Григорьева Оксана</t>
  </si>
  <si>
    <t>Юниорки 20 - 23 (14.07.1997)/20</t>
  </si>
  <si>
    <t>55,30</t>
  </si>
  <si>
    <t xml:space="preserve">Григорьев М.В. </t>
  </si>
  <si>
    <t>-. Доброва Наталья</t>
  </si>
  <si>
    <t>Ветераны 45 - 49 (29.11.1970)/47</t>
  </si>
  <si>
    <t>54,00</t>
  </si>
  <si>
    <t xml:space="preserve">Добров М.Ю. </t>
  </si>
  <si>
    <t>-. Сапожникова Анастасия</t>
  </si>
  <si>
    <t>Юниорки 20 - 23 (23.12.1995)/21</t>
  </si>
  <si>
    <t>59,40</t>
  </si>
  <si>
    <t>1. Дорофеева Виктория</t>
  </si>
  <si>
    <t>Девушки 16 - 19 (08.12.1998)/19</t>
  </si>
  <si>
    <t>66,10</t>
  </si>
  <si>
    <t xml:space="preserve">Ногинск/Московская область </t>
  </si>
  <si>
    <t xml:space="preserve">Коробов С.В. </t>
  </si>
  <si>
    <t>-. Волкова Мария</t>
  </si>
  <si>
    <t>Юниорки 20 - 23 (03.01.1995)/22</t>
  </si>
  <si>
    <t>64,50</t>
  </si>
  <si>
    <t xml:space="preserve">Дубна/Московская область </t>
  </si>
  <si>
    <t xml:space="preserve">Шабров А.Г. </t>
  </si>
  <si>
    <t>1. Ефиманова Дана</t>
  </si>
  <si>
    <t>Открытая (14.06.1988)/29</t>
  </si>
  <si>
    <t>64,80</t>
  </si>
  <si>
    <t xml:space="preserve">Карпунин И.А. </t>
  </si>
  <si>
    <t>2. Сёмкина Юлия</t>
  </si>
  <si>
    <t>Открытая (24.04.1989)/28</t>
  </si>
  <si>
    <t>65,20</t>
  </si>
  <si>
    <t xml:space="preserve">Задубровский С.В. </t>
  </si>
  <si>
    <t>Открытая (03.01.1995)/22</t>
  </si>
  <si>
    <t>-. Ушакова Ольга</t>
  </si>
  <si>
    <t>Открытая (22.03.1974)/43</t>
  </si>
  <si>
    <t>1. Бусова Валентина</t>
  </si>
  <si>
    <t>Девушки 16 - 19 (31.10.1998)/19</t>
  </si>
  <si>
    <t>69,00</t>
  </si>
  <si>
    <t>1. Лопатина Елена</t>
  </si>
  <si>
    <t>Ветераны 50 - 54 (05.04.1967)/50</t>
  </si>
  <si>
    <t>72,30</t>
  </si>
  <si>
    <t xml:space="preserve">Довбыш О. </t>
  </si>
  <si>
    <t>1. Марочкина Надежда</t>
  </si>
  <si>
    <t>Ветераны 60 - 64 (07.02.1957)/60</t>
  </si>
  <si>
    <t>73,70</t>
  </si>
  <si>
    <t>1. Лядов Евгений</t>
  </si>
  <si>
    <t>Открытая (16.07.1984)/33</t>
  </si>
  <si>
    <t>1. Пэдурец Евгений</t>
  </si>
  <si>
    <t>Юноши 16 - 19 (19.05.1999)/18</t>
  </si>
  <si>
    <t xml:space="preserve">Солнечногорск/Московская область </t>
  </si>
  <si>
    <t xml:space="preserve">Зайцев В.Б. </t>
  </si>
  <si>
    <t>1. Бурлаков Евгений</t>
  </si>
  <si>
    <t>Юниоры 20 - 23 (02.07.1995)/22</t>
  </si>
  <si>
    <t>70,00</t>
  </si>
  <si>
    <t>1. Косарев Руслан</t>
  </si>
  <si>
    <t>Открытая (27.11.1990)/27</t>
  </si>
  <si>
    <t>74,70</t>
  </si>
  <si>
    <t>202,5</t>
  </si>
  <si>
    <t xml:space="preserve">Сапсай П. </t>
  </si>
  <si>
    <t>2. Ульянов Олег</t>
  </si>
  <si>
    <t>Открытая (21.07.1989)/28</t>
  </si>
  <si>
    <t>72,60</t>
  </si>
  <si>
    <t>3. Лаврентьев Андрей</t>
  </si>
  <si>
    <t>Открытая (20.11.1983)/34</t>
  </si>
  <si>
    <t>73,40</t>
  </si>
  <si>
    <t xml:space="preserve">Свиридов Д.С. </t>
  </si>
  <si>
    <t>Перов Василий</t>
  </si>
  <si>
    <t>1. Перов Василий</t>
  </si>
  <si>
    <t>Открытая (06.03.1979)/38</t>
  </si>
  <si>
    <t>2. Богданов Роман</t>
  </si>
  <si>
    <t>Открытая (15.02.1983)/34</t>
  </si>
  <si>
    <t>80,80</t>
  </si>
  <si>
    <t>-. Каземиров Владимир</t>
  </si>
  <si>
    <t>Открытая (28.09.1986)/31</t>
  </si>
  <si>
    <t xml:space="preserve">Обухово/Московская область </t>
  </si>
  <si>
    <t>1. Аскаралиев Жавохир</t>
  </si>
  <si>
    <t>Юниоры 20 - 23 (29.12.1993)/23</t>
  </si>
  <si>
    <t>88,50</t>
  </si>
  <si>
    <t>1. Котов Александр</t>
  </si>
  <si>
    <t>Открытая (21.08.1987)/30</t>
  </si>
  <si>
    <t>-. Козак Константин</t>
  </si>
  <si>
    <t>Открытая (08.10.1993)/24</t>
  </si>
  <si>
    <t>1. Тушин Алексей</t>
  </si>
  <si>
    <t>Ветераны 50 - 54 (03.05.1964)/53</t>
  </si>
  <si>
    <t>88,80</t>
  </si>
  <si>
    <t>1. Тарбонов Владимир</t>
  </si>
  <si>
    <t>Ветераны 60 - 64 (01.11.1954)/63</t>
  </si>
  <si>
    <t>87,80</t>
  </si>
  <si>
    <t xml:space="preserve">Тамбовская </t>
  </si>
  <si>
    <t xml:space="preserve">Инжавино/Тамбовская </t>
  </si>
  <si>
    <t>192,5</t>
  </si>
  <si>
    <t>1. Омаров Закир</t>
  </si>
  <si>
    <t>Юноши 16 - 19 (31.07.1998)/19</t>
  </si>
  <si>
    <t xml:space="preserve">Фролов М. </t>
  </si>
  <si>
    <t>1. Елистратов Максим</t>
  </si>
  <si>
    <t>Юниоры 20 - 23 (12.07.1994)/23</t>
  </si>
  <si>
    <t>99,50</t>
  </si>
  <si>
    <t xml:space="preserve">Абаев М. </t>
  </si>
  <si>
    <t>Афанасьев Николай</t>
  </si>
  <si>
    <t>1. Афанасьев Николай</t>
  </si>
  <si>
    <t>Открытая (27.04.1981)/36</t>
  </si>
  <si>
    <t xml:space="preserve">Афанасьев Н.Н. </t>
  </si>
  <si>
    <t>2. Трунов Олег</t>
  </si>
  <si>
    <t>Открытая (08.08.1988)/29</t>
  </si>
  <si>
    <t>3. Жуков Михаил</t>
  </si>
  <si>
    <t>Открытая (26.02.1987)/30</t>
  </si>
  <si>
    <t xml:space="preserve">Яковлев Д. </t>
  </si>
  <si>
    <t>4. Цыганков Дмитрий</t>
  </si>
  <si>
    <t>Открытая (26.09.1990)/27</t>
  </si>
  <si>
    <t>97,80</t>
  </si>
  <si>
    <t xml:space="preserve">Королёв/Московская область </t>
  </si>
  <si>
    <t xml:space="preserve">Свиридов Д. </t>
  </si>
  <si>
    <t>1. Геженко Александр</t>
  </si>
  <si>
    <t>Ветераны 60 - 64 (21.03.1953)/64</t>
  </si>
  <si>
    <t>1. Полянский Артём</t>
  </si>
  <si>
    <t>Юноши 16 - 19 (08.12.1998)/19</t>
  </si>
  <si>
    <t>242,5</t>
  </si>
  <si>
    <t xml:space="preserve">Иванкин Д.Н., Мозголов А.С. </t>
  </si>
  <si>
    <t>1. Криуленко Павел</t>
  </si>
  <si>
    <t>Юниоры 20 - 23 (20.11.1997)/20</t>
  </si>
  <si>
    <t>101,50</t>
  </si>
  <si>
    <t>1. Именьев Андрей</t>
  </si>
  <si>
    <t>Открытая (02.07.1989)/28</t>
  </si>
  <si>
    <t>106,40</t>
  </si>
  <si>
    <t>2. Криуленко Павел</t>
  </si>
  <si>
    <t>Открытая (20.11.1997)/20</t>
  </si>
  <si>
    <t>3. Строилов Михаил</t>
  </si>
  <si>
    <t>Открытая (09.01.1976)/41</t>
  </si>
  <si>
    <t>109,90</t>
  </si>
  <si>
    <t xml:space="preserve">Мудрогелов Р.А. </t>
  </si>
  <si>
    <t>4. Илюхин Дмитрий</t>
  </si>
  <si>
    <t>Открытая (26.12.1982)/34</t>
  </si>
  <si>
    <t>107,40</t>
  </si>
  <si>
    <t>1. Строилов Михаил</t>
  </si>
  <si>
    <t>Ветераны 40 - 44 (09.01.1976)/41</t>
  </si>
  <si>
    <t>Киселев Сергей</t>
  </si>
  <si>
    <t>1. Киселев Сергей</t>
  </si>
  <si>
    <t>Юниоры 20 - 23 (18.06.1995)/22</t>
  </si>
  <si>
    <t>1. Степанченко Алексей</t>
  </si>
  <si>
    <t>Открытая (23.04.1988)/29</t>
  </si>
  <si>
    <t>123,40</t>
  </si>
  <si>
    <t xml:space="preserve">Воронков А.А. </t>
  </si>
  <si>
    <t>1. Котик Святослав</t>
  </si>
  <si>
    <t>Ветераны 45 - 49 (14.01.1972)/45</t>
  </si>
  <si>
    <t>115,30</t>
  </si>
  <si>
    <t xml:space="preserve">Чикин С.Н. </t>
  </si>
  <si>
    <t>Свентицкий Сергей</t>
  </si>
  <si>
    <t>1. Свентицкий Сергей</t>
  </si>
  <si>
    <t>Юниоры 20 - 23 (06.02.1994)/23</t>
  </si>
  <si>
    <t>128,20</t>
  </si>
  <si>
    <t xml:space="preserve">Рудько А. </t>
  </si>
  <si>
    <t>Открытая (06.02.1994)/23</t>
  </si>
  <si>
    <t>800,0</t>
  </si>
  <si>
    <t>463,6000</t>
  </si>
  <si>
    <t>777,5</t>
  </si>
  <si>
    <t>440,8425</t>
  </si>
  <si>
    <t>680,0</t>
  </si>
  <si>
    <t>455,5320</t>
  </si>
  <si>
    <t>695,0</t>
  </si>
  <si>
    <t>428,1895</t>
  </si>
  <si>
    <t>1. Севостьянов Денис</t>
  </si>
  <si>
    <t>Юниоры 20 - 23 (11.06.1996)/21</t>
  </si>
  <si>
    <t>1. Миронов Михаил</t>
  </si>
  <si>
    <t>Открытая (17.06.1994)/23</t>
  </si>
  <si>
    <t>96,40</t>
  </si>
  <si>
    <t>1. Лисицкий Илья</t>
  </si>
  <si>
    <t>Открытая (19.08.1993)/24</t>
  </si>
  <si>
    <t>104,70</t>
  </si>
  <si>
    <t xml:space="preserve">Косарев Р. </t>
  </si>
  <si>
    <t>1. Клементьева Виктория</t>
  </si>
  <si>
    <t>Юниорки 20 - 23 (24.03.1994)/23</t>
  </si>
  <si>
    <t>47,90</t>
  </si>
  <si>
    <t xml:space="preserve">Лосино-Петровский/Московская область </t>
  </si>
  <si>
    <t>47,5</t>
  </si>
  <si>
    <t>1. Солобуденко Анастасия</t>
  </si>
  <si>
    <t>Открытая (04.07.1991)/26</t>
  </si>
  <si>
    <t>46,90</t>
  </si>
  <si>
    <t>-. Крамаренко Алия</t>
  </si>
  <si>
    <t>Открытая (19.10.1979)/38</t>
  </si>
  <si>
    <t>47,30</t>
  </si>
  <si>
    <t xml:space="preserve">Бердников В. </t>
  </si>
  <si>
    <t>1. Сидорова Виктория</t>
  </si>
  <si>
    <t>Юниорки 20 - 23 (12.04.1995)/22</t>
  </si>
  <si>
    <t>51,40</t>
  </si>
  <si>
    <t>-. Родионова Екатерина</t>
  </si>
  <si>
    <t>Юниорки 20 - 23 (02.04.1994)/23</t>
  </si>
  <si>
    <t>50,10</t>
  </si>
  <si>
    <t xml:space="preserve">Ляпустин А.Н. </t>
  </si>
  <si>
    <t>1. Велиал Ника</t>
  </si>
  <si>
    <t>Открытая (25.11.1992)/25</t>
  </si>
  <si>
    <t xml:space="preserve">Зубков П. </t>
  </si>
  <si>
    <t>2. Киселева Мария</t>
  </si>
  <si>
    <t>Открытая (18.06.1990)/27</t>
  </si>
  <si>
    <t>49,90</t>
  </si>
  <si>
    <t xml:space="preserve">Попкова А. </t>
  </si>
  <si>
    <t>3. Рапопорт Марина</t>
  </si>
  <si>
    <t>Открытая (21.07.1984)/33</t>
  </si>
  <si>
    <t>4. Федосеева Мария</t>
  </si>
  <si>
    <t>Открытая (23.12.1982)/34</t>
  </si>
  <si>
    <t>50,80</t>
  </si>
  <si>
    <t xml:space="preserve">Электросталь/Московская область </t>
  </si>
  <si>
    <t xml:space="preserve">Медведева И. </t>
  </si>
  <si>
    <t>5. Дьяченко Екатерина</t>
  </si>
  <si>
    <t>Открытая (29.09.1988)/29</t>
  </si>
  <si>
    <t xml:space="preserve">Платыч М. </t>
  </si>
  <si>
    <t>1. Кущ Виктория</t>
  </si>
  <si>
    <t>Юниорки 20 - 23 (09.01.1995)/22</t>
  </si>
  <si>
    <t>53,90</t>
  </si>
  <si>
    <t xml:space="preserve">Ивлиев Л. </t>
  </si>
  <si>
    <t>1. Юрьева Юлия</t>
  </si>
  <si>
    <t>55,50</t>
  </si>
  <si>
    <t xml:space="preserve">Дальникова Т. </t>
  </si>
  <si>
    <t>2. Крайкина Александра</t>
  </si>
  <si>
    <t>Открытая (14.10.1992)/25</t>
  </si>
  <si>
    <t>55,40</t>
  </si>
  <si>
    <t xml:space="preserve">Прагин Р.О. </t>
  </si>
  <si>
    <t>3. Пантелева Елена</t>
  </si>
  <si>
    <t>Открытая (05.05.1987)/30</t>
  </si>
  <si>
    <t>53,20</t>
  </si>
  <si>
    <t>4. Ефимова Анна</t>
  </si>
  <si>
    <t>Открытая (22.12.1992)/24</t>
  </si>
  <si>
    <t>52,30</t>
  </si>
  <si>
    <t xml:space="preserve">Акимов Д. </t>
  </si>
  <si>
    <t>Таскаева Екатерина</t>
  </si>
  <si>
    <t>1. Таскаева Екатерина</t>
  </si>
  <si>
    <t>Юниорки 20 - 23 (22.12.1993)/23</t>
  </si>
  <si>
    <t>Открытая (22.12.1993)/23</t>
  </si>
  <si>
    <t>1. Мутных Ксения</t>
  </si>
  <si>
    <t>Девушки 16 - 19 (09.02.2001)/16</t>
  </si>
  <si>
    <t>65,40</t>
  </si>
  <si>
    <t xml:space="preserve">Лазарев В. </t>
  </si>
  <si>
    <t>Шишкина Татьяна</t>
  </si>
  <si>
    <t>1. Шишкина Татьяна</t>
  </si>
  <si>
    <t>Открытая (17.08.1982)/35</t>
  </si>
  <si>
    <t xml:space="preserve">Мазуров С.А. </t>
  </si>
  <si>
    <t>2. Котелевская Евгения</t>
  </si>
  <si>
    <t>Открытая (02.08.1989)/28</t>
  </si>
  <si>
    <t xml:space="preserve">Уколов Д.С. </t>
  </si>
  <si>
    <t>3. Щедрина Елена</t>
  </si>
  <si>
    <t>Открытая (07.11.1987)/30</t>
  </si>
  <si>
    <t>66,80</t>
  </si>
  <si>
    <t>4. Ачкасова Екатерина</t>
  </si>
  <si>
    <t>Открытая (16.08.1984)/33</t>
  </si>
  <si>
    <t>61,70</t>
  </si>
  <si>
    <t>35,0</t>
  </si>
  <si>
    <t xml:space="preserve">Ачкасов А. </t>
  </si>
  <si>
    <t>-. Колесникова Елена</t>
  </si>
  <si>
    <t>Открытая (16.01.1989)/28</t>
  </si>
  <si>
    <t>63,00</t>
  </si>
  <si>
    <t>1. Павловская Ольга</t>
  </si>
  <si>
    <t>Ветераны 40 - 44 (06.05.1974)/43</t>
  </si>
  <si>
    <t xml:space="preserve">Сорокин С. </t>
  </si>
  <si>
    <t>1. Воропаева Виктория</t>
  </si>
  <si>
    <t>Юниорки 20 - 23 (04.04.1997)/20</t>
  </si>
  <si>
    <t>70,90</t>
  </si>
  <si>
    <t xml:space="preserve">Иванкин Д.Н. Мозголов А.С. </t>
  </si>
  <si>
    <t>Грачева Ольга</t>
  </si>
  <si>
    <t>1. Грачева Ольга</t>
  </si>
  <si>
    <t>Открытая (19.09.1978)/39</t>
  </si>
  <si>
    <t xml:space="preserve">Милосердов О. </t>
  </si>
  <si>
    <t>2. Иваненко Анна</t>
  </si>
  <si>
    <t>Открытая (03.01.1986)/31</t>
  </si>
  <si>
    <t>1. Никитин Никита</t>
  </si>
  <si>
    <t>Юноши 14 - 15 (03.12.2004)/13</t>
  </si>
  <si>
    <t>0,0</t>
  </si>
  <si>
    <t>1. Орлов Дмитрий</t>
  </si>
  <si>
    <t>Юноши 16 - 19 (24.01.2001)/16</t>
  </si>
  <si>
    <t xml:space="preserve">Калужская </t>
  </si>
  <si>
    <t xml:space="preserve">Калуга/Калужская область </t>
  </si>
  <si>
    <t xml:space="preserve">Баранов И.Ф. </t>
  </si>
  <si>
    <t>1. Бурдин Антон</t>
  </si>
  <si>
    <t>Открытая (01.09.1989)/28</t>
  </si>
  <si>
    <t>2. Афанасьев Максим</t>
  </si>
  <si>
    <t>Открытая (26.05.2004)/13</t>
  </si>
  <si>
    <t>56,10</t>
  </si>
  <si>
    <t>1. Буянов Никита</t>
  </si>
  <si>
    <t>Юноши 14 - 15 (10.06.2002)/15</t>
  </si>
  <si>
    <t xml:space="preserve">Тульская </t>
  </si>
  <si>
    <t xml:space="preserve">Тула/Тульская область </t>
  </si>
  <si>
    <t xml:space="preserve">Алексеев А.В. </t>
  </si>
  <si>
    <t>1. Бойко Егор</t>
  </si>
  <si>
    <t>Юноши 16 - 19 (19.01.2001)/16</t>
  </si>
  <si>
    <t>65,80</t>
  </si>
  <si>
    <t xml:space="preserve">Бойко А.А. </t>
  </si>
  <si>
    <t>1. Ануфриев Дмитрий</t>
  </si>
  <si>
    <t>Юниоры 20 - 23 (26.03.1995)/22</t>
  </si>
  <si>
    <t xml:space="preserve">Самарская </t>
  </si>
  <si>
    <t xml:space="preserve">Самара/Самарская область </t>
  </si>
  <si>
    <t>1. Самохвалов Никита</t>
  </si>
  <si>
    <t>Открытая (11.08.1988)/29</t>
  </si>
  <si>
    <t>2. Бычков Сергей</t>
  </si>
  <si>
    <t>Открытая (23.03.1989)/28</t>
  </si>
  <si>
    <t>64,10</t>
  </si>
  <si>
    <t xml:space="preserve">Смоленская </t>
  </si>
  <si>
    <t xml:space="preserve">Смоленск/Смоленская область </t>
  </si>
  <si>
    <t>3. Миропольцев Максим</t>
  </si>
  <si>
    <t>66,70</t>
  </si>
  <si>
    <t xml:space="preserve">Терещенко И. </t>
  </si>
  <si>
    <t>4. Карапетян Степан</t>
  </si>
  <si>
    <t>Открытая (13.09.1991)/26</t>
  </si>
  <si>
    <t>67,10</t>
  </si>
  <si>
    <t xml:space="preserve">Комков С. </t>
  </si>
  <si>
    <t>5. Литвин Александр</t>
  </si>
  <si>
    <t>Открытая (24.11.1986)/31</t>
  </si>
  <si>
    <t>66,00</t>
  </si>
  <si>
    <t xml:space="preserve">Лапин-Кратасюк Е. </t>
  </si>
  <si>
    <t>6. Жилин Андрей</t>
  </si>
  <si>
    <t>Открытая (05.04.1983)/34</t>
  </si>
  <si>
    <t>67,20</t>
  </si>
  <si>
    <t>7. Хлевной Дмитрий</t>
  </si>
  <si>
    <t>Открытая (13.01.1992)/25</t>
  </si>
  <si>
    <t>66,30</t>
  </si>
  <si>
    <t xml:space="preserve">Сумин А.В. </t>
  </si>
  <si>
    <t>8. Шершаков Михаил</t>
  </si>
  <si>
    <t>Открытая (24.08.1993)/24</t>
  </si>
  <si>
    <t xml:space="preserve">Молочков А.А. </t>
  </si>
  <si>
    <t>1. Чистяков Игорь</t>
  </si>
  <si>
    <t>Ветераны 50 - 54 (27.05.1965)/52</t>
  </si>
  <si>
    <t xml:space="preserve">Буянин А. </t>
  </si>
  <si>
    <t>1. Иванов Егор</t>
  </si>
  <si>
    <t>Юноши 14 - 15 (24.03.2002)/15</t>
  </si>
  <si>
    <t>72,80</t>
  </si>
  <si>
    <t xml:space="preserve">Ковшин Э. </t>
  </si>
  <si>
    <t>1. Букалов Роман</t>
  </si>
  <si>
    <t>Юниоры 20 - 23 (07.05.1994)/23</t>
  </si>
  <si>
    <t>74,60</t>
  </si>
  <si>
    <t>2. Косухин Денис</t>
  </si>
  <si>
    <t>Юниоры 20 - 23 (09.08.1996)/21</t>
  </si>
  <si>
    <t>73,20</t>
  </si>
  <si>
    <t>3. Куличенко Максим</t>
  </si>
  <si>
    <t>Юниоры 20 - 23 (03.07.1994)/23</t>
  </si>
  <si>
    <t>73,50</t>
  </si>
  <si>
    <t>1. Полосин Сергей</t>
  </si>
  <si>
    <t>Открытая (27.03.1989)/28</t>
  </si>
  <si>
    <t>2. Асмолов Евгений</t>
  </si>
  <si>
    <t>Открытая (10.12.1983)/34</t>
  </si>
  <si>
    <t>74,20</t>
  </si>
  <si>
    <t xml:space="preserve">Дзержинский/Московская область </t>
  </si>
  <si>
    <t>3. Попов Игорь</t>
  </si>
  <si>
    <t>Открытая (11.11.1989)/28</t>
  </si>
  <si>
    <t xml:space="preserve">Железнодорожный/Московская область </t>
  </si>
  <si>
    <t>4. Капитульский Дмитрий</t>
  </si>
  <si>
    <t>Открытая (10.05.1989)/28</t>
  </si>
  <si>
    <t>72,10</t>
  </si>
  <si>
    <t xml:space="preserve">Котов А.В. </t>
  </si>
  <si>
    <t>5. Солнцев Михаил</t>
  </si>
  <si>
    <t>Открытая (05.06.1991)/26</t>
  </si>
  <si>
    <t>6. Чиликов Вячеслав</t>
  </si>
  <si>
    <t>Открытая (04.01.1991)/26</t>
  </si>
  <si>
    <t>7. Лапушкин Александр</t>
  </si>
  <si>
    <t>Открытая (10.02.1981)/36</t>
  </si>
  <si>
    <t>73,10</t>
  </si>
  <si>
    <t>8. Лямин Владимир</t>
  </si>
  <si>
    <t>Открытая (09.12.1993)/24</t>
  </si>
  <si>
    <t>9. Дьяков Эдвард</t>
  </si>
  <si>
    <t>Открытая (27.01.1989)/28</t>
  </si>
  <si>
    <t xml:space="preserve">Резников М. </t>
  </si>
  <si>
    <t>1. Рябухин Валерий</t>
  </si>
  <si>
    <t>Ветераны 40 - 44 (18.04.1977)/40</t>
  </si>
  <si>
    <t>74,40</t>
  </si>
  <si>
    <t>1. Ионов Николай</t>
  </si>
  <si>
    <t>Ветераны 65 - 69 (20.05.1949)/68</t>
  </si>
  <si>
    <t>72,70</t>
  </si>
  <si>
    <t xml:space="preserve">Хуснетдинова Т.И. </t>
  </si>
  <si>
    <t>1. Лапин Геннадий</t>
  </si>
  <si>
    <t>Юниоры 20 - 23 (13.07.1995)/22</t>
  </si>
  <si>
    <t xml:space="preserve">Лапин В.В. </t>
  </si>
  <si>
    <t>2. Кабачий Сергей</t>
  </si>
  <si>
    <t>Юниоры 20 - 23 (13.09.1996)/21</t>
  </si>
  <si>
    <t>80,70</t>
  </si>
  <si>
    <t>3. Кривенко Кирилл</t>
  </si>
  <si>
    <t>Юниоры 20 - 23 (30.01.1995)/22</t>
  </si>
  <si>
    <t>4. Соколов Василий</t>
  </si>
  <si>
    <t>Юниоры 20 - 23 (10.07.1994)/23</t>
  </si>
  <si>
    <t>80,90</t>
  </si>
  <si>
    <t xml:space="preserve">Белозеров В.Л. </t>
  </si>
  <si>
    <t>-. Макаров Николай</t>
  </si>
  <si>
    <t>Юниоры 20 - 23 (26.07.1996)/21</t>
  </si>
  <si>
    <t>78,50</t>
  </si>
  <si>
    <t xml:space="preserve">Венёв/Тульская область </t>
  </si>
  <si>
    <t xml:space="preserve">Поляков А.А. </t>
  </si>
  <si>
    <t>-. Сошко Александр</t>
  </si>
  <si>
    <t>Юниоры 20 - 23 (09.07.1996)/21</t>
  </si>
  <si>
    <t>80,10</t>
  </si>
  <si>
    <t>1. Овчинников Сергей</t>
  </si>
  <si>
    <t>Открытая (25.12.1982)/34</t>
  </si>
  <si>
    <t>81,60</t>
  </si>
  <si>
    <t>2. Тюрин Антон</t>
  </si>
  <si>
    <t>Открытая (29.05.1993)/24</t>
  </si>
  <si>
    <t>79,80</t>
  </si>
  <si>
    <t xml:space="preserve">Сафоново/Смоленская область </t>
  </si>
  <si>
    <t>3. Кожевников Алексей</t>
  </si>
  <si>
    <t>Открытая (20.12.1983)/33</t>
  </si>
  <si>
    <t xml:space="preserve">Домашевский А.В. </t>
  </si>
  <si>
    <t>4. Добудько Дмитрий</t>
  </si>
  <si>
    <t>Открытая (07.10.1982)/35</t>
  </si>
  <si>
    <t>5. Кравцов Александр</t>
  </si>
  <si>
    <t>79,90</t>
  </si>
  <si>
    <t xml:space="preserve">Даниленко И. </t>
  </si>
  <si>
    <t>6. Букатин Владимир</t>
  </si>
  <si>
    <t>Открытая (19.08.1985)/32</t>
  </si>
  <si>
    <t>7. Губарев Евгений</t>
  </si>
  <si>
    <t>Открытая (01.10.1986)/31</t>
  </si>
  <si>
    <t>80,40</t>
  </si>
  <si>
    <t>8. Бузин Вячеслав</t>
  </si>
  <si>
    <t>Открытая (16.09.1990)/27</t>
  </si>
  <si>
    <t xml:space="preserve">Спирин В. </t>
  </si>
  <si>
    <t>-. Кокоев Богдан</t>
  </si>
  <si>
    <t>Открытая (15.11.1993)/24</t>
  </si>
  <si>
    <t>-. Рубан Валерий</t>
  </si>
  <si>
    <t>Открытая (14.02.1990)/27</t>
  </si>
  <si>
    <t>82,40</t>
  </si>
  <si>
    <t>1. Шалеников Андрей</t>
  </si>
  <si>
    <t>Ветераны 40 - 44 (18.04.1974)/43</t>
  </si>
  <si>
    <t>81,30</t>
  </si>
  <si>
    <t>2. Семенов Александр</t>
  </si>
  <si>
    <t>-. Бородуля Алексей</t>
  </si>
  <si>
    <t>Ветераны 40 - 44 (24.10.1977)/40</t>
  </si>
  <si>
    <t xml:space="preserve">Малышкин Д. </t>
  </si>
  <si>
    <t>1. Тарасов Николай</t>
  </si>
  <si>
    <t>Ветераны 50 - 54 (10.07.1964)/53</t>
  </si>
  <si>
    <t>2. Кондрашев Сергей</t>
  </si>
  <si>
    <t>Ветераны 50 - 54 (16.09.1963)/54</t>
  </si>
  <si>
    <t>78,40</t>
  </si>
  <si>
    <t>1. Каминский Александр</t>
  </si>
  <si>
    <t>Юноши 16 - 19 (29.08.1999)/18</t>
  </si>
  <si>
    <t>Евтеев Алексей</t>
  </si>
  <si>
    <t>1. Евтеев Алексей</t>
  </si>
  <si>
    <t>Юниоры 20 - 23 (08.08.1994)/23</t>
  </si>
  <si>
    <t xml:space="preserve">Бойко Ю.М. </t>
  </si>
  <si>
    <t>2. Кухаев Андрей</t>
  </si>
  <si>
    <t>Юниоры 20 - 23 (01.02.1996)/21</t>
  </si>
  <si>
    <t>3. Хворостюк Иван</t>
  </si>
  <si>
    <t>Юниоры 20 - 23 (26.12.1995)/21</t>
  </si>
  <si>
    <t>88,40</t>
  </si>
  <si>
    <t xml:space="preserve">Маракшин К. </t>
  </si>
  <si>
    <t>-. Кусайло Иван</t>
  </si>
  <si>
    <t>Юниоры 20 - 23 (24.01.1995)/22</t>
  </si>
  <si>
    <t>-. Доставалов Антон</t>
  </si>
  <si>
    <t>Юниоры 20 - 23 (23.05.1993)/24</t>
  </si>
  <si>
    <t>1. Шаймурзин Марат</t>
  </si>
  <si>
    <t>Открытая (06.09.1983)/34</t>
  </si>
  <si>
    <t>90,00</t>
  </si>
  <si>
    <t>2. Воронцов Илья</t>
  </si>
  <si>
    <t>Открытая (07.12.1982)/35</t>
  </si>
  <si>
    <t>86,30</t>
  </si>
  <si>
    <t>3. Костюков Антон</t>
  </si>
  <si>
    <t>Открытая (14.07.1977)/40</t>
  </si>
  <si>
    <t>4. Паршин Владимир</t>
  </si>
  <si>
    <t>Открытая (27.03.1979)/38</t>
  </si>
  <si>
    <t xml:space="preserve">Ярославская </t>
  </si>
  <si>
    <t xml:space="preserve">Ярославль/Ярославская область </t>
  </si>
  <si>
    <t>5. Смоляков Александр</t>
  </si>
  <si>
    <t>Открытая (01.12.1981)/36</t>
  </si>
  <si>
    <t>Старцев Игорь</t>
  </si>
  <si>
    <t>6. Старцев Игорь</t>
  </si>
  <si>
    <t>Открытая (14.03.1983)/34</t>
  </si>
  <si>
    <t>89,40</t>
  </si>
  <si>
    <t>7. Гирко Владислав</t>
  </si>
  <si>
    <t>Открытая (19.09.1987)/30</t>
  </si>
  <si>
    <t>8. Доставалов Антон</t>
  </si>
  <si>
    <t>Открытая (23.05.1993)/24</t>
  </si>
  <si>
    <t>9. Волобуев Дмитрий</t>
  </si>
  <si>
    <t>Открытая (17.05.1989)/28</t>
  </si>
  <si>
    <t>10. Князев Максим</t>
  </si>
  <si>
    <t>Открытая (26.07.1986)/31</t>
  </si>
  <si>
    <t>84,40</t>
  </si>
  <si>
    <t>11. Логунов Илья</t>
  </si>
  <si>
    <t>Открытая (10.08.1989)/28</t>
  </si>
  <si>
    <t>12. Дзираев Владимир</t>
  </si>
  <si>
    <t>Открытая (25.07.1981)/36</t>
  </si>
  <si>
    <t>13. Кузин Владимир</t>
  </si>
  <si>
    <t>Открытая (16.03.1986)/31</t>
  </si>
  <si>
    <t xml:space="preserve">Котов А. </t>
  </si>
  <si>
    <t>14. Мотов Дмитрий</t>
  </si>
  <si>
    <t>Открытая (06.12.1983)/34</t>
  </si>
  <si>
    <t>86,80</t>
  </si>
  <si>
    <t xml:space="preserve">Красково/Московская область </t>
  </si>
  <si>
    <t>-. Пахомов Алексей</t>
  </si>
  <si>
    <t>Открытая (05.04.1993)/24</t>
  </si>
  <si>
    <t>-. Дёмцев Григорий</t>
  </si>
  <si>
    <t>Открытая (27.06.1991)/26</t>
  </si>
  <si>
    <t>1. Костюков Антон</t>
  </si>
  <si>
    <t>Ветераны 40 - 44 (14.07.1977)/40</t>
  </si>
  <si>
    <t>2. Харитонов Олег</t>
  </si>
  <si>
    <t>Ветераны 40 - 44 (21.05.1975)/42</t>
  </si>
  <si>
    <t>3. Гурковский Юрий</t>
  </si>
  <si>
    <t>Ветераны 40 - 44 (11.04.1975)/42</t>
  </si>
  <si>
    <t>88,10</t>
  </si>
  <si>
    <t xml:space="preserve">Гурковский С.С. </t>
  </si>
  <si>
    <t>4. Теймуров Эмиль</t>
  </si>
  <si>
    <t>Ветераны 40 - 44 (24.03.1976)/41</t>
  </si>
  <si>
    <t>86,40</t>
  </si>
  <si>
    <t>5. Дорохов Дмитрий</t>
  </si>
  <si>
    <t>Ветераны 40 - 44 (29.10.1974)/43</t>
  </si>
  <si>
    <t>88,30</t>
  </si>
  <si>
    <t>-. Шергин Игорь</t>
  </si>
  <si>
    <t>Ветераны 40 - 44 (25.04.1976)/41</t>
  </si>
  <si>
    <t xml:space="preserve">Туляков Н. </t>
  </si>
  <si>
    <t>1. Дымов Олег</t>
  </si>
  <si>
    <t>Ветераны 45 - 49 (02.05.1970)/47</t>
  </si>
  <si>
    <t>88,70</t>
  </si>
  <si>
    <t>1. Хорхордин Игорь</t>
  </si>
  <si>
    <t>Ветераны 50 - 54 (15.06.1967)/50</t>
  </si>
  <si>
    <t>86,90</t>
  </si>
  <si>
    <t>1. Сорокин Геннадий</t>
  </si>
  <si>
    <t>Ветераны 55 - 59 (08.09.1959)/58</t>
  </si>
  <si>
    <t>89,60</t>
  </si>
  <si>
    <t xml:space="preserve">Лазариди Г.К. </t>
  </si>
  <si>
    <t>2. Макаров Олег</t>
  </si>
  <si>
    <t>Ветераны 55 - 59 (13.05.1962)/55</t>
  </si>
  <si>
    <t>Хуснетдинов Амир</t>
  </si>
  <si>
    <t>1. Хуснетдинов Амир</t>
  </si>
  <si>
    <t>Ветераны 65 - 69 (01.03.1948)/69</t>
  </si>
  <si>
    <t>1. Ефременков Владимир</t>
  </si>
  <si>
    <t>Юниоры 20 - 23 (26.12.1996)/20</t>
  </si>
  <si>
    <t>98,10</t>
  </si>
  <si>
    <t xml:space="preserve">Белоконев С.А. </t>
  </si>
  <si>
    <t>Баранов Иван</t>
  </si>
  <si>
    <t>1. Баранов Иван</t>
  </si>
  <si>
    <t>Открытая (29.05.1990)/27</t>
  </si>
  <si>
    <t>97,60</t>
  </si>
  <si>
    <t xml:space="preserve">Боровск/Калужская область </t>
  </si>
  <si>
    <t>2. Касауров Александр</t>
  </si>
  <si>
    <t>Открытая (23.04.1980)/37</t>
  </si>
  <si>
    <t>3. Раджабов Искандар</t>
  </si>
  <si>
    <t>Открытая (15.03.1989)/28</t>
  </si>
  <si>
    <t>97,90</t>
  </si>
  <si>
    <t>4. Ковалев Андрей</t>
  </si>
  <si>
    <t>Открытая (14.09.1992)/25</t>
  </si>
  <si>
    <t xml:space="preserve">Курская </t>
  </si>
  <si>
    <t xml:space="preserve">Курск/Курская область </t>
  </si>
  <si>
    <t>5. Винокуров Роман</t>
  </si>
  <si>
    <t>Открытая (26.05.1984)/33</t>
  </si>
  <si>
    <t>6. Атапин Виктор</t>
  </si>
  <si>
    <t>Открытая (25.12.1990)/26</t>
  </si>
  <si>
    <t>7. Акопян Сирак</t>
  </si>
  <si>
    <t>Открытая (20.01.1993)/24</t>
  </si>
  <si>
    <t>8. Евсеев Роман</t>
  </si>
  <si>
    <t>Открытая (12.08.1993)/24</t>
  </si>
  <si>
    <t>99,60</t>
  </si>
  <si>
    <t>-. Шевченко Роман</t>
  </si>
  <si>
    <t>Открытая (14.05.1985)/32</t>
  </si>
  <si>
    <t>98,00</t>
  </si>
  <si>
    <t>-. Блохин Александр</t>
  </si>
  <si>
    <t>Открытая (05.02.1981)/36</t>
  </si>
  <si>
    <t xml:space="preserve">Чидингов П.Д. </t>
  </si>
  <si>
    <t>-. Буковский Вадим</t>
  </si>
  <si>
    <t>Открытая (08.05.1991)/26</t>
  </si>
  <si>
    <t xml:space="preserve">Домодедово/Московская область </t>
  </si>
  <si>
    <t xml:space="preserve">Терехин Ю.Г. </t>
  </si>
  <si>
    <t>1. Сазонов Вадим</t>
  </si>
  <si>
    <t>Ветераны 40 - 44 (06.07.1975)/42</t>
  </si>
  <si>
    <t>99,70</t>
  </si>
  <si>
    <t>2. Малышев Игорь</t>
  </si>
  <si>
    <t>Ветераны 40 - 44 (05.12.1973)/44</t>
  </si>
  <si>
    <t>94,90</t>
  </si>
  <si>
    <t>3. Чаганов Андрей</t>
  </si>
  <si>
    <t>Ветераны 40 - 44 (18.11.1976)/41</t>
  </si>
  <si>
    <t>1. Шабанов Вадим</t>
  </si>
  <si>
    <t>Ветераны 45 - 49 (03.02.1972)/45</t>
  </si>
  <si>
    <t>95,90</t>
  </si>
  <si>
    <t xml:space="preserve">Книщук Р. </t>
  </si>
  <si>
    <t>2. Шабалин Александр</t>
  </si>
  <si>
    <t>Ветераны 45 - 49 (07.09.1971)/46</t>
  </si>
  <si>
    <t>96,80</t>
  </si>
  <si>
    <t>1. Сапачев Александр</t>
  </si>
  <si>
    <t>Ветераны 50 - 54 (13.12.1965)/52</t>
  </si>
  <si>
    <t>96,90</t>
  </si>
  <si>
    <t>Макевнин Андрей</t>
  </si>
  <si>
    <t>1. Макевнин Андрей</t>
  </si>
  <si>
    <t>Ветераны 55 - 59 (18.05.1961)/56</t>
  </si>
  <si>
    <t>96,30</t>
  </si>
  <si>
    <t>Скворцов Леонид</t>
  </si>
  <si>
    <t>2. Скворцов Леонид</t>
  </si>
  <si>
    <t>Ветераны 55 - 59 (24.05.1962)/55</t>
  </si>
  <si>
    <t xml:space="preserve">Брянская </t>
  </si>
  <si>
    <t xml:space="preserve">Брянск/Брянская область </t>
  </si>
  <si>
    <t xml:space="preserve">Скворцов А.Л. </t>
  </si>
  <si>
    <t>3. Дергачев Николай</t>
  </si>
  <si>
    <t>Ветераны 55 - 59 (24.08.1960)/57</t>
  </si>
  <si>
    <t>1. Полоян Сурен</t>
  </si>
  <si>
    <t>Юниоры 20 - 23 (19.08.1995)/22</t>
  </si>
  <si>
    <t>107,60</t>
  </si>
  <si>
    <t>1. Виноградов Эдуард</t>
  </si>
  <si>
    <t>Открытая (20.07.1974)/43</t>
  </si>
  <si>
    <t>108,40</t>
  </si>
  <si>
    <t xml:space="preserve">Никитин С.И. </t>
  </si>
  <si>
    <t>2. Севрюков Максим</t>
  </si>
  <si>
    <t>Открытая (06.03.1985)/32</t>
  </si>
  <si>
    <t>108,80</t>
  </si>
  <si>
    <t xml:space="preserve">Воскресенск/Московская область </t>
  </si>
  <si>
    <t xml:space="preserve">Хламков А.Е. </t>
  </si>
  <si>
    <t>3. Овчаров Сергей</t>
  </si>
  <si>
    <t>Открытая (14.08.1979)/38</t>
  </si>
  <si>
    <t>105,60</t>
  </si>
  <si>
    <t>4. Гришин Евгений</t>
  </si>
  <si>
    <t>Открытая (05.07.1987)/30</t>
  </si>
  <si>
    <t>103,00</t>
  </si>
  <si>
    <t>5. Лопатин Олег</t>
  </si>
  <si>
    <t>Открытая (15.06.1983)/34</t>
  </si>
  <si>
    <t>109,50</t>
  </si>
  <si>
    <t xml:space="preserve">Солдатов И. </t>
  </si>
  <si>
    <t>6. Рудецких Андрей</t>
  </si>
  <si>
    <t>Открытая (17.11.1978)/39</t>
  </si>
  <si>
    <t>105,20</t>
  </si>
  <si>
    <t>7. Морозов Валерий</t>
  </si>
  <si>
    <t>Открытая (13.04.1986)/31</t>
  </si>
  <si>
    <t>109,20</t>
  </si>
  <si>
    <t xml:space="preserve">Наро-Фоминск/Московская область </t>
  </si>
  <si>
    <t xml:space="preserve">Страдаев А. </t>
  </si>
  <si>
    <t>8. Буянов Александр</t>
  </si>
  <si>
    <t>Открытая (24.03.1980)/37</t>
  </si>
  <si>
    <t>106,50</t>
  </si>
  <si>
    <t>9. Назаров Садай</t>
  </si>
  <si>
    <t>Открытая (27.05.1998)/19</t>
  </si>
  <si>
    <t>107,30</t>
  </si>
  <si>
    <t>-. Румянцев Сергей</t>
  </si>
  <si>
    <t>Открытая (14.08.1990)/27</t>
  </si>
  <si>
    <t>Ветераны 40 - 44 (20.07.1974)/43</t>
  </si>
  <si>
    <t>2. Иванов Вадим</t>
  </si>
  <si>
    <t>Ветераны 40 - 44 (24.12.1972)/44</t>
  </si>
  <si>
    <t xml:space="preserve">Егорьевск/Московская область </t>
  </si>
  <si>
    <t xml:space="preserve">Ванифантьев В.В. </t>
  </si>
  <si>
    <t>1. Бурлов Иван</t>
  </si>
  <si>
    <t>Ветераны 45 - 49 (20.01.1970)/47</t>
  </si>
  <si>
    <t>106,10</t>
  </si>
  <si>
    <t xml:space="preserve">Романов Ю.Н. </t>
  </si>
  <si>
    <t>2. Кривоконь Алексей</t>
  </si>
  <si>
    <t>Ветераны 45 - 49 (01.11.1970)/47</t>
  </si>
  <si>
    <t>102,10</t>
  </si>
  <si>
    <t xml:space="preserve">Хабаровский Край </t>
  </si>
  <si>
    <t xml:space="preserve">Хабаровск/Хабаровский край </t>
  </si>
  <si>
    <t>3. Киреев Дмитрий</t>
  </si>
  <si>
    <t>Ветераны 45 - 49 (25.08.1969)/48</t>
  </si>
  <si>
    <t>Руденко Николай</t>
  </si>
  <si>
    <t>1. Руденко Николай</t>
  </si>
  <si>
    <t>Открытая (27.10.1982)/35</t>
  </si>
  <si>
    <t>120,90</t>
  </si>
  <si>
    <t>2. Масалов Алексей</t>
  </si>
  <si>
    <t>Открытая (23.05.1976)/41</t>
  </si>
  <si>
    <t>3. Селезнев Владимир</t>
  </si>
  <si>
    <t>Открытая (09.05.1977)/40</t>
  </si>
  <si>
    <t>125,00</t>
  </si>
  <si>
    <t>4. Фролов Александр</t>
  </si>
  <si>
    <t>Открытая (17.01.1988)/29</t>
  </si>
  <si>
    <t>122,20</t>
  </si>
  <si>
    <t>5. Маринов Евгений</t>
  </si>
  <si>
    <t>119,10</t>
  </si>
  <si>
    <t>1. Масалов Алексей</t>
  </si>
  <si>
    <t>Ветераны 40 - 44 (23.05.1976)/41</t>
  </si>
  <si>
    <t>2. Селезнев Владимир</t>
  </si>
  <si>
    <t>Ветераны 40 - 44 (09.05.1977)/40</t>
  </si>
  <si>
    <t>3. Гордяков Юрий</t>
  </si>
  <si>
    <t>Ветераны 40 - 44 (27.04.1976)/41</t>
  </si>
  <si>
    <t>118,00</t>
  </si>
  <si>
    <t>4. Сиваченко Сергей</t>
  </si>
  <si>
    <t>Ветераны 40 - 44 (30.05.1974)/43</t>
  </si>
  <si>
    <t>121,70</t>
  </si>
  <si>
    <t>1. Чубаров Владимир</t>
  </si>
  <si>
    <t>Ветераны 50 - 54 (03.04.1964)/53</t>
  </si>
  <si>
    <t>1. Ходаковский Вячеслав</t>
  </si>
  <si>
    <t>Открытая (08.09.1986)/31</t>
  </si>
  <si>
    <t>126,60</t>
  </si>
  <si>
    <t>-. Залетаев Андрей</t>
  </si>
  <si>
    <t>Ветераны 40 - 44 (20.09.1975)/42</t>
  </si>
  <si>
    <t>132,50</t>
  </si>
  <si>
    <t>1. Попов Владимир</t>
  </si>
  <si>
    <t>Ветераны 60 - 64 (26.02.1956)/61</t>
  </si>
  <si>
    <t>126,00</t>
  </si>
  <si>
    <t xml:space="preserve">Тверская </t>
  </si>
  <si>
    <t xml:space="preserve">Тверь/Тверская область </t>
  </si>
  <si>
    <t>ВЕСОВАЯ КАТЕГОРИЯ   140+</t>
  </si>
  <si>
    <t>Мишуренков Роман</t>
  </si>
  <si>
    <t>1. Мишуренков Роман</t>
  </si>
  <si>
    <t>Открытая (16.02.1982)/35</t>
  </si>
  <si>
    <t>142,00</t>
  </si>
  <si>
    <t>93,1838</t>
  </si>
  <si>
    <t>83,5362</t>
  </si>
  <si>
    <t>82,3438</t>
  </si>
  <si>
    <t>115,3800</t>
  </si>
  <si>
    <t>125,4600</t>
  </si>
  <si>
    <t>122,9400</t>
  </si>
  <si>
    <t>119,0842</t>
  </si>
  <si>
    <t xml:space="preserve">Ветераны 65 - 69 </t>
  </si>
  <si>
    <t>144,3144</t>
  </si>
  <si>
    <t>130,9683</t>
  </si>
  <si>
    <t>127,7405</t>
  </si>
  <si>
    <t>1. Пустовит Мария</t>
  </si>
  <si>
    <t>Открытая (30.07.1985)/32</t>
  </si>
  <si>
    <t>60,00</t>
  </si>
  <si>
    <t xml:space="preserve">Милостной С.Ю. </t>
  </si>
  <si>
    <t>1. Корнеев Дмитрий</t>
  </si>
  <si>
    <t>Открытая (15.02.1987)/30</t>
  </si>
  <si>
    <t>89,00</t>
  </si>
  <si>
    <t>-. Добрянский Денис</t>
  </si>
  <si>
    <t>Открытая (06.12.1977)/40</t>
  </si>
  <si>
    <t>87,20</t>
  </si>
  <si>
    <t xml:space="preserve">Мавренков С.В. </t>
  </si>
  <si>
    <t>Ветераны 40 - 44 (06.12.1977)/40</t>
  </si>
  <si>
    <t>1. Нафиков Равиль</t>
  </si>
  <si>
    <t>Ветераны 45 - 49 (29.12.1970)/46</t>
  </si>
  <si>
    <t xml:space="preserve">Дзержинск/Нижегородская область </t>
  </si>
  <si>
    <t>Тарбонов Юрий</t>
  </si>
  <si>
    <t>1. Тарбонов Юрий</t>
  </si>
  <si>
    <t>Открытая (26.11.1987)/30</t>
  </si>
  <si>
    <t>2. Степанов Максим</t>
  </si>
  <si>
    <t>Открытая (18.07.1988)/29</t>
  </si>
  <si>
    <t>1. Ли Владимир</t>
  </si>
  <si>
    <t>Ветераны 65 - 69 (16.10.1951)/66</t>
  </si>
  <si>
    <t>94,60</t>
  </si>
  <si>
    <t>1. Рак Иван</t>
  </si>
  <si>
    <t>Ветераны 40 - 44 (27.08.1974)/43</t>
  </si>
  <si>
    <t>103,70</t>
  </si>
  <si>
    <t xml:space="preserve">Дмитров/Московская область </t>
  </si>
  <si>
    <t>-. Рысенков Павел</t>
  </si>
  <si>
    <t>Открытая (11.08.1978)/39</t>
  </si>
  <si>
    <t>120,60</t>
  </si>
  <si>
    <t xml:space="preserve">Шатура/Московская область </t>
  </si>
  <si>
    <t>162,3825</t>
  </si>
  <si>
    <t>1. Ларионов Артем</t>
  </si>
  <si>
    <t>Открытая (14.05.1978)/39</t>
  </si>
  <si>
    <t>1. Кулебякин Руслан</t>
  </si>
  <si>
    <t>Открытая (26.02.1991)/26</t>
  </si>
  <si>
    <t>108,20</t>
  </si>
  <si>
    <t xml:space="preserve">Ростовская </t>
  </si>
  <si>
    <t xml:space="preserve">Таганрог/Ростовская область </t>
  </si>
  <si>
    <t xml:space="preserve">Стародубский С.В. </t>
  </si>
  <si>
    <t>1. Лукасевич Мария</t>
  </si>
  <si>
    <t>Открытая (28.04.1989)/28</t>
  </si>
  <si>
    <t>47,10</t>
  </si>
  <si>
    <t xml:space="preserve">Афанасьев Н. </t>
  </si>
  <si>
    <t>-. Алехина Елена</t>
  </si>
  <si>
    <t>Открытая (21.05.1988)/29</t>
  </si>
  <si>
    <t>51,60</t>
  </si>
  <si>
    <t xml:space="preserve">Никитин Ю. </t>
  </si>
  <si>
    <t>1. Черткова Алина</t>
  </si>
  <si>
    <t>Девушки 16 - 19 (09.08.2001)/16</t>
  </si>
  <si>
    <t>54,70</t>
  </si>
  <si>
    <t xml:space="preserve">Аркадьев Д. </t>
  </si>
  <si>
    <t>1. Семёнова Юлия</t>
  </si>
  <si>
    <t>Открытая (05.10.1988)/29</t>
  </si>
  <si>
    <t xml:space="preserve">Богачёв И. </t>
  </si>
  <si>
    <t>1. Шишканова Светлана</t>
  </si>
  <si>
    <t>Ветераны 40 - 44 (07.08.1973)/44</t>
  </si>
  <si>
    <t>54,80</t>
  </si>
  <si>
    <t>1. Григорьева Мария</t>
  </si>
  <si>
    <t>Юниорки 20 - 23 (06.08.1994)/23</t>
  </si>
  <si>
    <t>Махова Инна</t>
  </si>
  <si>
    <t>1. Махова Инна</t>
  </si>
  <si>
    <t>Открытая (11.10.1991)/26</t>
  </si>
  <si>
    <t>56,90</t>
  </si>
  <si>
    <t xml:space="preserve">Гаудинова М.Х. </t>
  </si>
  <si>
    <t>2. Чаплыгина Екатерина</t>
  </si>
  <si>
    <t>Открытая (17.09.1991)/26</t>
  </si>
  <si>
    <t>58,50</t>
  </si>
  <si>
    <t>1. Родионова Ирина</t>
  </si>
  <si>
    <t>Открытая (01.03.1987)/30</t>
  </si>
  <si>
    <t>2. Варламова Диана</t>
  </si>
  <si>
    <t>Открытая (03.04.1988)/29</t>
  </si>
  <si>
    <t>62,70</t>
  </si>
  <si>
    <t xml:space="preserve">Варламов В. </t>
  </si>
  <si>
    <t>1. Наринская Иветта</t>
  </si>
  <si>
    <t xml:space="preserve">Бирюкова Н. </t>
  </si>
  <si>
    <t>1. Кафтайлова Наталья</t>
  </si>
  <si>
    <t>66,50</t>
  </si>
  <si>
    <t>Открытая (04.04.1997)/20</t>
  </si>
  <si>
    <t>69,90</t>
  </si>
  <si>
    <t>2. Жаткина Татьяна</t>
  </si>
  <si>
    <t>Открытая (16.01.1991)/26</t>
  </si>
  <si>
    <t xml:space="preserve">Лазарев В.В., Маркин Н. </t>
  </si>
  <si>
    <t>1. Васильева Екатерина</t>
  </si>
  <si>
    <t>Ветераны 40 - 44 (07.09.1976)/41</t>
  </si>
  <si>
    <t>-. Шайдуллина Наталья</t>
  </si>
  <si>
    <t>Открытая (05.12.1984)/33</t>
  </si>
  <si>
    <t>81,10</t>
  </si>
  <si>
    <t>1. Чефранова Анна</t>
  </si>
  <si>
    <t>Ветераны 45 - 49 (25.05.1969)/48</t>
  </si>
  <si>
    <t>76,80</t>
  </si>
  <si>
    <t xml:space="preserve">Никитина А. </t>
  </si>
  <si>
    <t>1. Куличенко Никита</t>
  </si>
  <si>
    <t>Юноши 14 - 15 (08.05.2002)/15</t>
  </si>
  <si>
    <t>65,50</t>
  </si>
  <si>
    <t>1. Ризванов Ирек</t>
  </si>
  <si>
    <t>Открытая (08.01.1992)/25</t>
  </si>
  <si>
    <t xml:space="preserve">Неклюдов К. </t>
  </si>
  <si>
    <t>2. Семёнов Марк</t>
  </si>
  <si>
    <t>Открытая (16.11.1988)/29</t>
  </si>
  <si>
    <t xml:space="preserve">Мурашевский И.С. </t>
  </si>
  <si>
    <t>1. Тарасов Родион</t>
  </si>
  <si>
    <t>Юноши 16 - 19 (12.03.1999)/18</t>
  </si>
  <si>
    <t>74,10</t>
  </si>
  <si>
    <t>2. Назаров Максим</t>
  </si>
  <si>
    <t>Юноши 16 - 19 (16.02.1998)/19</t>
  </si>
  <si>
    <t>73,90</t>
  </si>
  <si>
    <t xml:space="preserve">Мурзаханов Н.А. </t>
  </si>
  <si>
    <t>3. Алексеев Глеб</t>
  </si>
  <si>
    <t>Юноши 16 - 19 (18.08.1999)/18</t>
  </si>
  <si>
    <t>69,30</t>
  </si>
  <si>
    <t xml:space="preserve">Тарасав Р.С. </t>
  </si>
  <si>
    <t>Кофи Каблан</t>
  </si>
  <si>
    <t>1. Кофи Каблан</t>
  </si>
  <si>
    <t>Юниоры 20 - 23 (15.03.1994)/23</t>
  </si>
  <si>
    <t xml:space="preserve">Мурзаханов К.А. </t>
  </si>
  <si>
    <t>1. Баймуханов Тимур</t>
  </si>
  <si>
    <t>Открытая (23.04.1993)/24</t>
  </si>
  <si>
    <t>74,00</t>
  </si>
  <si>
    <t xml:space="preserve">Баудинов М.Х. </t>
  </si>
  <si>
    <t>2. Евтихеев Андрей</t>
  </si>
  <si>
    <t>Открытая (30.07.1989)/28</t>
  </si>
  <si>
    <t xml:space="preserve">Материкин О.Ю. </t>
  </si>
  <si>
    <t>3. Журавлев Михаил</t>
  </si>
  <si>
    <t>Открытая (09.08.1988)/29</t>
  </si>
  <si>
    <t xml:space="preserve">Лобня/Московская область </t>
  </si>
  <si>
    <t>4. Ивлиев Александр</t>
  </si>
  <si>
    <t>Открытая (24.12.1985)/31</t>
  </si>
  <si>
    <t>74,80</t>
  </si>
  <si>
    <t>5. Ковалев Виктор</t>
  </si>
  <si>
    <t>Открытая (09.05.1984)/33</t>
  </si>
  <si>
    <t>1. Ветров Николай</t>
  </si>
  <si>
    <t>Ветераны 70 - 74 (12.09.1945)/72</t>
  </si>
  <si>
    <t xml:space="preserve">Санников В.М. </t>
  </si>
  <si>
    <t>Куликов Александр</t>
  </si>
  <si>
    <t>1. Куликов Александр</t>
  </si>
  <si>
    <t>Ветераны 75 - 79 (13.09.1941)/76</t>
  </si>
  <si>
    <t>1. Кандиорин Кирилл</t>
  </si>
  <si>
    <t>Юниоры 20 - 23 (17.06.1994)/23</t>
  </si>
  <si>
    <t>Евсеев Сергей</t>
  </si>
  <si>
    <t>1. Евсеев Сергей</t>
  </si>
  <si>
    <t>Открытая (09.10.1990)/27</t>
  </si>
  <si>
    <t xml:space="preserve">Великие Луки/Псковская область </t>
  </si>
  <si>
    <t xml:space="preserve">Евсеев М.И. </t>
  </si>
  <si>
    <t>2. Пальтов Владимир</t>
  </si>
  <si>
    <t>Открытая (30.05.1979)/38</t>
  </si>
  <si>
    <t>76,00</t>
  </si>
  <si>
    <t>3. Ясыченко Роман</t>
  </si>
  <si>
    <t>Открытая (08.12.1998)/19</t>
  </si>
  <si>
    <t>79,20</t>
  </si>
  <si>
    <t xml:space="preserve">Бронницы/Московская область </t>
  </si>
  <si>
    <t xml:space="preserve">Матевосян Д. </t>
  </si>
  <si>
    <t>4. Сосунов Антон</t>
  </si>
  <si>
    <t>Открытая (14.12.1980)/37</t>
  </si>
  <si>
    <t>80,60</t>
  </si>
  <si>
    <t xml:space="preserve">Ходов Г.Я. </t>
  </si>
  <si>
    <t>5. Згурский Сергей</t>
  </si>
  <si>
    <t>Открытая (25.12.1992)/24</t>
  </si>
  <si>
    <t xml:space="preserve">Орехово-Зуево/Московская область </t>
  </si>
  <si>
    <t xml:space="preserve">Юдаев А. </t>
  </si>
  <si>
    <t>1. Нахаев Сергей</t>
  </si>
  <si>
    <t>Ветераны 40 - 44 (05.08.1976)/41</t>
  </si>
  <si>
    <t>79,10</t>
  </si>
  <si>
    <t>1. Скокин Виктор</t>
  </si>
  <si>
    <t>Ветераны 60 - 64 (20.07.1957)/60</t>
  </si>
  <si>
    <t>2. Панфилов Владимир</t>
  </si>
  <si>
    <t>Ветераны 60 - 64 (21.01.1953)/64</t>
  </si>
  <si>
    <t>1. Рабаданов Османбек</t>
  </si>
  <si>
    <t>Юниоры 20 - 23 (11.02.1997)/20</t>
  </si>
  <si>
    <t>86,70</t>
  </si>
  <si>
    <t>-. Щегольский Александр</t>
  </si>
  <si>
    <t>Юниоры 20 - 23 (23.12.1996)/20</t>
  </si>
  <si>
    <t xml:space="preserve">Александров/Владимирская область </t>
  </si>
  <si>
    <t>1. Старцев Игорь</t>
  </si>
  <si>
    <t>2. Трофимов Александр</t>
  </si>
  <si>
    <t>Открытая (25.07.1988)/29</t>
  </si>
  <si>
    <t>83,40</t>
  </si>
  <si>
    <t>3. Терещенко Сергей</t>
  </si>
  <si>
    <t>Открытая (15.11.1988)/29</t>
  </si>
  <si>
    <t xml:space="preserve">Кондратьев А. </t>
  </si>
  <si>
    <t>4. Горбунов Антон</t>
  </si>
  <si>
    <t>Открытая (14.09.1989)/28</t>
  </si>
  <si>
    <t>85,10</t>
  </si>
  <si>
    <t xml:space="preserve">Чехов/Московская область </t>
  </si>
  <si>
    <t>5. Мызенков Михаил</t>
  </si>
  <si>
    <t>Открытая (12.02.1985)/32</t>
  </si>
  <si>
    <t>83,50</t>
  </si>
  <si>
    <t>6. Гаспарян Антон</t>
  </si>
  <si>
    <t>Открытая (06.04.1984)/33</t>
  </si>
  <si>
    <t>82,90</t>
  </si>
  <si>
    <t>1. Кривоконь Виктор</t>
  </si>
  <si>
    <t>Ветераны 45 - 49 (25.07.1972)/45</t>
  </si>
  <si>
    <t>1. Воронин Александр</t>
  </si>
  <si>
    <t>Ветераны 50 - 54 (26.03.1965)/52</t>
  </si>
  <si>
    <t>84,30</t>
  </si>
  <si>
    <t>Немчинов Александр</t>
  </si>
  <si>
    <t>1. Немчинов Александр</t>
  </si>
  <si>
    <t>Ветераны 65 - 69 (10.11.1951)/66</t>
  </si>
  <si>
    <t xml:space="preserve">Курганская </t>
  </si>
  <si>
    <t>Бобков Михаил</t>
  </si>
  <si>
    <t>1. Бобков Михаил</t>
  </si>
  <si>
    <t>Ветераны 70 - 74 (27.11.1947)/70</t>
  </si>
  <si>
    <t>88,00</t>
  </si>
  <si>
    <t xml:space="preserve">Балахна/Нижегородская область </t>
  </si>
  <si>
    <t xml:space="preserve">Тумаков Р.О. </t>
  </si>
  <si>
    <t>1. Блажевич Осман</t>
  </si>
  <si>
    <t>Юноши 16 - 19 (13.03.2000)/17</t>
  </si>
  <si>
    <t>96,00</t>
  </si>
  <si>
    <t>2. Ефременков Владимир</t>
  </si>
  <si>
    <t>3. Маклаков Денис</t>
  </si>
  <si>
    <t>Юниоры 20 - 23 (02.05.1997)/20</t>
  </si>
  <si>
    <t>93,40</t>
  </si>
  <si>
    <t>4. Галкин Максим</t>
  </si>
  <si>
    <t>1. Варварин Олег</t>
  </si>
  <si>
    <t>Открытая (02.04.1986)/31</t>
  </si>
  <si>
    <t>2. Боронахин Юрий</t>
  </si>
  <si>
    <t>Открытая (21.10.1983)/34</t>
  </si>
  <si>
    <t xml:space="preserve">Павлов Д. </t>
  </si>
  <si>
    <t>3. Родионов Роман</t>
  </si>
  <si>
    <t>Открытая (06.12.1987)/30</t>
  </si>
  <si>
    <t>94,10</t>
  </si>
  <si>
    <t xml:space="preserve">Побережный А.В. </t>
  </si>
  <si>
    <t>4. Шепелюк Андрей</t>
  </si>
  <si>
    <t>Открытая (07.07.1984)/33</t>
  </si>
  <si>
    <t>5. Зайцев Евгений</t>
  </si>
  <si>
    <t>Открытая (29.10.1986)/31</t>
  </si>
  <si>
    <t>93,50</t>
  </si>
  <si>
    <t xml:space="preserve">Лазарев В.В. </t>
  </si>
  <si>
    <t>1. Ерофайлов Юрий</t>
  </si>
  <si>
    <t>Ветераны 40 - 44 (07.01.1974)/43</t>
  </si>
  <si>
    <t>Побережный Андрей</t>
  </si>
  <si>
    <t>1. Побережный Андрей</t>
  </si>
  <si>
    <t>Открытая (06.09.1986)/31</t>
  </si>
  <si>
    <t xml:space="preserve">Петракова О.А. </t>
  </si>
  <si>
    <t>2. Штатнов Павел</t>
  </si>
  <si>
    <t>Открытая (27.12.1980)/36</t>
  </si>
  <si>
    <t>101,30</t>
  </si>
  <si>
    <t>3. Малышкин Дмитрий</t>
  </si>
  <si>
    <t>Открытая (20.05.1982)/35</t>
  </si>
  <si>
    <t>104,10</t>
  </si>
  <si>
    <t>4. Козлов Андрей</t>
  </si>
  <si>
    <t>Открытая (24.10.1969)/48</t>
  </si>
  <si>
    <t xml:space="preserve">Евстигнеев М. </t>
  </si>
  <si>
    <t>5. Умаров Рустам</t>
  </si>
  <si>
    <t>Открытая (03.12.1990)/27</t>
  </si>
  <si>
    <t>1. Воронов Максим</t>
  </si>
  <si>
    <t>Ветераны 40 - 44 (24.08.1976)/41</t>
  </si>
  <si>
    <t>101,20</t>
  </si>
  <si>
    <t>1. Карасев Кирилл</t>
  </si>
  <si>
    <t>Открытая (11.07.1992)/25</t>
  </si>
  <si>
    <t>112,40</t>
  </si>
  <si>
    <t xml:space="preserve">Белгородская </t>
  </si>
  <si>
    <t xml:space="preserve">Белгород/Белгородская область </t>
  </si>
  <si>
    <t>1. Булаев Сергей</t>
  </si>
  <si>
    <t>Ветераны 45 - 49 (04.12.1972)/45</t>
  </si>
  <si>
    <t>111,00</t>
  </si>
  <si>
    <t>162,6800</t>
  </si>
  <si>
    <t>171,0000</t>
  </si>
  <si>
    <t>176,8988</t>
  </si>
  <si>
    <t>169,9125</t>
  </si>
  <si>
    <t>169,7590</t>
  </si>
  <si>
    <t xml:space="preserve">Ветераны 75 - 79 </t>
  </si>
  <si>
    <t>243,6024</t>
  </si>
  <si>
    <t>230,4256</t>
  </si>
  <si>
    <t xml:space="preserve">Ветераны 70 - 74 </t>
  </si>
  <si>
    <t>209,8448</t>
  </si>
  <si>
    <t>1. Батюхова Анастасия</t>
  </si>
  <si>
    <t>Открытая (27.07.1991)/26</t>
  </si>
  <si>
    <t xml:space="preserve">Монахова М.А. </t>
  </si>
  <si>
    <t>1. Филиппов Игорь</t>
  </si>
  <si>
    <t>Открытая (05.10.1984)/33</t>
  </si>
  <si>
    <t>1. Станкевич Вячеслав</t>
  </si>
  <si>
    <t>Ветераны 65 - 69 (05.03.1950)/67</t>
  </si>
  <si>
    <t>81,90</t>
  </si>
  <si>
    <t>1. Варламов Вячеслав</t>
  </si>
  <si>
    <t>Открытая (18.03.1985)/32</t>
  </si>
  <si>
    <t>2. Тарбонов Владимир</t>
  </si>
  <si>
    <t>Открытая (01.11.1954)/63</t>
  </si>
  <si>
    <t>89,20</t>
  </si>
  <si>
    <t>Первый Открытый Чемпионат России
WPU c ДК Становая тяга в Однослойной экипировке
Москва 16 - 17 декабря 2017 г.</t>
  </si>
  <si>
    <t>Первый Открытый Чемпионат России
WPU c ДК Становая тяга Безэкипировочная
Москва 16 - 17 декабря 2017 г.</t>
  </si>
  <si>
    <t>Котов А.</t>
  </si>
  <si>
    <t xml:space="preserve">Мозголов А.С., Иванкин Д.М. </t>
  </si>
  <si>
    <t>Ростов-на-Дону/Ростовская область</t>
  </si>
  <si>
    <t>Псковская</t>
  </si>
  <si>
    <t>Щелково-3/Московская область</t>
  </si>
  <si>
    <t>Первый Открытый Чемпионат России
WPU c ДК Жим лежа в Многослойной экипировке
Москва 16 - 17 декабря 2017 г.</t>
  </si>
  <si>
    <t>Первый Открытый Чемпионат России
WPU c ДК Жим лежа Безэкипировочный
Москва 16 - 17 декабря 2017 г.</t>
  </si>
  <si>
    <t>Сумин А.В.</t>
  </si>
  <si>
    <t>Электросталь/Московская область</t>
  </si>
  <si>
    <t>Первый Открытый Чемпионат России
WPU c ДК Пауэрлифтинг в Однослойной экипировке
Москва 16 - 17 декабря 2017 г.</t>
  </si>
  <si>
    <t>Первый Открытый Чемпионат России
WPU c ДК Пауэрлифтинг Безэкипировочный
Москва 16 - 17 декабря 2017 г.</t>
  </si>
  <si>
    <t>Первый Открытый Чемпионат России
WPU c ДК Пауэрлифтинг Классический
Москва 16 - 17 декабря 2017 г.</t>
  </si>
  <si>
    <t>Первый Открытый Чемпионат России
WPU Становая тяга в Многослойной экипировке
Москва 16 - 17 декабря 2017 г.</t>
  </si>
  <si>
    <t>Первый Открытый Чемпионат России
WPU Становая тяга в Однослойной экипировке
Москва 16 - 17 декабря 2017 г.</t>
  </si>
  <si>
    <t>Первый Открытый Чемпионат России
WPU Становая тяга Безэкипировочная
Москва 16 - 17 декабря 2017 г.</t>
  </si>
  <si>
    <t>Первый Открытый Чемпионат России
WPU Жим лежа в Многослойной экипировке
Москва 16 - 17 декабря 2017 г.</t>
  </si>
  <si>
    <t>Первый Открытый Чемпионат России
WPU Жим лежа в Однослойной экипировке
Москва 16 - 17 декабря 2017 г.</t>
  </si>
  <si>
    <t>Ракчеев Д.</t>
  </si>
  <si>
    <t>Московская</t>
  </si>
  <si>
    <t>Первый Открытый Чемпионат России
WPU Пауэрлифтинг в Многослойной экипировке
Москва 16 - 17 декабря 2017 г.</t>
  </si>
  <si>
    <t>Первый Открытый Чемпионат России
WPU Пауэрлифтинг в Однослойной экипировке
Москва 16 - 17 декабря 2017 г.</t>
  </si>
  <si>
    <t>Первый Открытый Чемпионат России
WPU Пауэрлифтинг Безэкипировочный
Москва 16 - 17 декабря 2017 г.</t>
  </si>
  <si>
    <t>Марченко В.В.</t>
  </si>
  <si>
    <t>Первый Открытый Чемпионат России
WPU Пауэрлифтинг Классический
Москва 16 - 17 декабря 2017 г.</t>
  </si>
  <si>
    <t>1393,5460</t>
  </si>
  <si>
    <t>1540,0</t>
  </si>
  <si>
    <t>Зеленова Диана</t>
  </si>
  <si>
    <t xml:space="preserve">Gloss </t>
  </si>
  <si>
    <t>30,0</t>
  </si>
  <si>
    <t>Москва</t>
  </si>
  <si>
    <t>Юноши 13 - 19 (24.03.2002)/15</t>
  </si>
  <si>
    <t>32,5</t>
  </si>
  <si>
    <t>2. Родионова Ирина</t>
  </si>
  <si>
    <t xml:space="preserve">Ладонцев А.Л. </t>
  </si>
  <si>
    <t>44,0</t>
  </si>
  <si>
    <t>Открытая (19.07.1986)/31</t>
  </si>
  <si>
    <t>1. Зеленова Диана</t>
  </si>
  <si>
    <t>36,0</t>
  </si>
  <si>
    <t>3. Крайкина Александра</t>
  </si>
  <si>
    <t xml:space="preserve">Поляков А. </t>
  </si>
  <si>
    <t>27,5</t>
  </si>
  <si>
    <t>53,30</t>
  </si>
  <si>
    <t>Открытая (01.01.1990)/27</t>
  </si>
  <si>
    <t>2. Чернышина Екатерина</t>
  </si>
  <si>
    <t>52,40</t>
  </si>
  <si>
    <t>Открытая (27.09.1987)/30</t>
  </si>
  <si>
    <t>1. Гаврилова Вера</t>
  </si>
  <si>
    <t>47,0</t>
  </si>
  <si>
    <t>55,00</t>
  </si>
  <si>
    <t>24,0</t>
  </si>
  <si>
    <t>2. Ефимова Анна</t>
  </si>
  <si>
    <t xml:space="preserve">Подвижной Д. </t>
  </si>
  <si>
    <t>39,0</t>
  </si>
  <si>
    <t>25,0</t>
  </si>
  <si>
    <t>48,50</t>
  </si>
  <si>
    <t>Открытая (04.09.1989)/28</t>
  </si>
  <si>
    <t>1. Гусева Мария</t>
  </si>
  <si>
    <t>Gloss</t>
  </si>
  <si>
    <t>Первый открытый Чемпионат России по НЖ
WPU с ДК Народный жим 1/2 веса
Москва 16 - 17 декабря 2017 г.</t>
  </si>
  <si>
    <t>1975,4253</t>
  </si>
  <si>
    <t>3052,5</t>
  </si>
  <si>
    <t xml:space="preserve">Мастера 40 - 49 </t>
  </si>
  <si>
    <t>Архипов Денис</t>
  </si>
  <si>
    <t xml:space="preserve">Мастера </t>
  </si>
  <si>
    <t>2140,7100</t>
  </si>
  <si>
    <t>3300,0</t>
  </si>
  <si>
    <t>Воробьев Михаил</t>
  </si>
  <si>
    <t>2325,2001</t>
  </si>
  <si>
    <t>4000,0</t>
  </si>
  <si>
    <t>Филиппин Андрей</t>
  </si>
  <si>
    <t>4007,8500</t>
  </si>
  <si>
    <t>5775,0</t>
  </si>
  <si>
    <t>Никитин Роман</t>
  </si>
  <si>
    <t>17,0</t>
  </si>
  <si>
    <t>130,00</t>
  </si>
  <si>
    <t>Открытая (16.05.1978)/39</t>
  </si>
  <si>
    <t>1. Марачев Роман</t>
  </si>
  <si>
    <t>18,0</t>
  </si>
  <si>
    <t>Мастера 40 - 49 (24.08.1976)/41</t>
  </si>
  <si>
    <t>4. Воронов Максим</t>
  </si>
  <si>
    <t>23,0</t>
  </si>
  <si>
    <t>Мастера 40 - 49 (25.08.1969)/48</t>
  </si>
  <si>
    <t>26,0</t>
  </si>
  <si>
    <t xml:space="preserve">Хабаровская </t>
  </si>
  <si>
    <t>Мастера 40 - 49 (01.11.1970)/47</t>
  </si>
  <si>
    <t>31,0</t>
  </si>
  <si>
    <t>105,00</t>
  </si>
  <si>
    <t>Мастера 40 - 49 (21.06.1976)/41</t>
  </si>
  <si>
    <t>1. Евстигнеев Михаил</t>
  </si>
  <si>
    <t>Открытая (25.08.1969)/48</t>
  </si>
  <si>
    <t>5. Киреев Дмитрий</t>
  </si>
  <si>
    <t>28,0</t>
  </si>
  <si>
    <t>Открытая (25.01.1987)/30</t>
  </si>
  <si>
    <t>4. Константинов Андрей</t>
  </si>
  <si>
    <t>Открытая (21.06.1976)/41</t>
  </si>
  <si>
    <t>3. Евстигнеев Михаил</t>
  </si>
  <si>
    <t>32,0</t>
  </si>
  <si>
    <t>Открытая (26.06.1980)/37</t>
  </si>
  <si>
    <t>2. Жегулин Андрей</t>
  </si>
  <si>
    <t>33,0</t>
  </si>
  <si>
    <t>102,40</t>
  </si>
  <si>
    <t>Открытая (01.08.1982)/35</t>
  </si>
  <si>
    <t>1. Мозголов Антон</t>
  </si>
  <si>
    <t>Мастера 40 - 49 (06.07.1975)/42</t>
  </si>
  <si>
    <t xml:space="preserve">Сорокин С.В. </t>
  </si>
  <si>
    <t>22,0</t>
  </si>
  <si>
    <t>Открытая (05.02.1989)/28</t>
  </si>
  <si>
    <t>4. Винийчук Петр</t>
  </si>
  <si>
    <t>91,60</t>
  </si>
  <si>
    <t>Открытая (26.04.1986)/31</t>
  </si>
  <si>
    <t>3. Обедиентов Александр</t>
  </si>
  <si>
    <t>29,0</t>
  </si>
  <si>
    <t>90,80</t>
  </si>
  <si>
    <t>Открытая (01.07.1982)/35</t>
  </si>
  <si>
    <t>2. Смирнов Алексей</t>
  </si>
  <si>
    <t>Открытая (02.01.1982)/35</t>
  </si>
  <si>
    <t>1. Филиппин Андрей</t>
  </si>
  <si>
    <t xml:space="preserve">Лобачёв Д. </t>
  </si>
  <si>
    <t>91,90</t>
  </si>
  <si>
    <t>Юниоры 20 - 23 (22.08.1994)/23</t>
  </si>
  <si>
    <t>1. Сорокин Егор</t>
  </si>
  <si>
    <t xml:space="preserve">Дроздов М. </t>
  </si>
  <si>
    <t>Наро-Фоминск/Московская область</t>
  </si>
  <si>
    <t>83,90</t>
  </si>
  <si>
    <t>Мастера 50 - 59 (02.05.1967)/50</t>
  </si>
  <si>
    <t>1. Михайловский Виталий</t>
  </si>
  <si>
    <t>Мастера 40 - 49 (14.07.1977)/40</t>
  </si>
  <si>
    <t>4. Дёмцев Григорий</t>
  </si>
  <si>
    <t>82,60</t>
  </si>
  <si>
    <t>Открытая (05.01.1986)/31</t>
  </si>
  <si>
    <t>3. Духновский Борис</t>
  </si>
  <si>
    <t>2. Костюков Антон</t>
  </si>
  <si>
    <t>1. Воронцов Илья</t>
  </si>
  <si>
    <t>12,0</t>
  </si>
  <si>
    <t>79,30</t>
  </si>
  <si>
    <t>Мастера 50 - 59 (16.09.1963)/54</t>
  </si>
  <si>
    <t>1. Кондрашев Сергей</t>
  </si>
  <si>
    <t xml:space="preserve">Черепков А. </t>
  </si>
  <si>
    <t>37,0</t>
  </si>
  <si>
    <t>Мастера 40 - 49 (22.06.1977)/40</t>
  </si>
  <si>
    <t>1. Архипов Денис</t>
  </si>
  <si>
    <t>34,0</t>
  </si>
  <si>
    <t>79,00</t>
  </si>
  <si>
    <t>Открытая (20.07.1987)/30</t>
  </si>
  <si>
    <t>3. Сурмач Кирилл</t>
  </si>
  <si>
    <t>Открытая (12.02.1980)/37</t>
  </si>
  <si>
    <t>2. Дудник Александр</t>
  </si>
  <si>
    <t>Открытая (21.11.1990)/27</t>
  </si>
  <si>
    <t>1. Воробьев Михаил</t>
  </si>
  <si>
    <t xml:space="preserve">Саратов/Саратовская область </t>
  </si>
  <si>
    <t xml:space="preserve">Саратовская </t>
  </si>
  <si>
    <t>Юниоры 20 - 23 (01.03.1997)/20</t>
  </si>
  <si>
    <t>1. Гусаков Никита</t>
  </si>
  <si>
    <t>13,0</t>
  </si>
  <si>
    <t>Мастера 60+ (26.03.1946)/71</t>
  </si>
  <si>
    <t>1. Манусевич Владимир</t>
  </si>
  <si>
    <t>72,50</t>
  </si>
  <si>
    <t>Мастера 50 - 59 (23.05.1965)/52</t>
  </si>
  <si>
    <t>1. Хамилов Александр</t>
  </si>
  <si>
    <t xml:space="preserve">Большаков В. </t>
  </si>
  <si>
    <t>Открытая (16.03.1983)/34</t>
  </si>
  <si>
    <t>3. Гордеев Артем</t>
  </si>
  <si>
    <t xml:space="preserve">Владивосток/Приморский край </t>
  </si>
  <si>
    <t xml:space="preserve">Приморский Край </t>
  </si>
  <si>
    <t>Открытая (18.09.1978)/39</t>
  </si>
  <si>
    <t>2. Петрук Александр</t>
  </si>
  <si>
    <t>77,0</t>
  </si>
  <si>
    <t xml:space="preserve">Луховицы/Московская область </t>
  </si>
  <si>
    <t>Открытая (20.03.1993)/24</t>
  </si>
  <si>
    <t>1. Никитин Роман</t>
  </si>
  <si>
    <t>Юниоры 20 - 23 (22.12.1996)/20</t>
  </si>
  <si>
    <t>1. Макринский Владимир</t>
  </si>
  <si>
    <t>Мастера 50 - 59 (27.05.1965)/52</t>
  </si>
  <si>
    <t>Открытая (27.05.1965)/52</t>
  </si>
  <si>
    <t>2. Чистяков Игорь</t>
  </si>
  <si>
    <t>Открытая (27.07.1993)/24</t>
  </si>
  <si>
    <t>1. Салий Антон</t>
  </si>
  <si>
    <t xml:space="preserve">Чекренев А.В. </t>
  </si>
  <si>
    <t>11,0</t>
  </si>
  <si>
    <t>Открытая (09.03.1982)/35</t>
  </si>
  <si>
    <t>1. Кричмар Ольга</t>
  </si>
  <si>
    <t>Первый открытый Чемпионат России по НЖ
WPU с ДК Народный жим 1 вес
Москва 16 - 17 декабря 2017 г.</t>
  </si>
  <si>
    <t>3415,4312</t>
  </si>
  <si>
    <t>5550,0</t>
  </si>
  <si>
    <t>Константинов Дмитрий</t>
  </si>
  <si>
    <t>2140,4593</t>
  </si>
  <si>
    <t>3515,0</t>
  </si>
  <si>
    <t>Аксенчик Вадим</t>
  </si>
  <si>
    <t>2154,1407</t>
  </si>
  <si>
    <t>3412,5</t>
  </si>
  <si>
    <t>Костев Николай</t>
  </si>
  <si>
    <t>3030,4835</t>
  </si>
  <si>
    <t>3982,5</t>
  </si>
  <si>
    <t>Заболотников Иван</t>
  </si>
  <si>
    <t>115,50</t>
  </si>
  <si>
    <t>Открытая (02.02.1981)/36</t>
  </si>
  <si>
    <t>2. Трунилин Сергей</t>
  </si>
  <si>
    <t>Москва/</t>
  </si>
  <si>
    <t>Открытая (13.11.1992)/25</t>
  </si>
  <si>
    <t>1. Евона Борис</t>
  </si>
  <si>
    <t>Мастера 40 - 49 (09.11.1976)/41</t>
  </si>
  <si>
    <t xml:space="preserve">Гринберг И. </t>
  </si>
  <si>
    <t>102,00</t>
  </si>
  <si>
    <t>Открытая (20.09.1984)/33</t>
  </si>
  <si>
    <t>1. Терещенко Илья</t>
  </si>
  <si>
    <t xml:space="preserve">Туляков Н.Г. </t>
  </si>
  <si>
    <t>Мастера 40 - 49 (24.08.1969)/48</t>
  </si>
  <si>
    <t>2. Гринберг Игорс</t>
  </si>
  <si>
    <t xml:space="preserve">Шарандов О. </t>
  </si>
  <si>
    <t>90,70</t>
  </si>
  <si>
    <t>Мастера 40 - 49 (17.08.1976)/41</t>
  </si>
  <si>
    <t>1. Константинов Дмитрий</t>
  </si>
  <si>
    <t>91,50</t>
  </si>
  <si>
    <t>Открытая (02.06.1986)/31</t>
  </si>
  <si>
    <t>3. Прагин Роман</t>
  </si>
  <si>
    <t>Открытая (31.12.1982)/34</t>
  </si>
  <si>
    <t>2. Шабанов Максим</t>
  </si>
  <si>
    <t>38,0</t>
  </si>
  <si>
    <t xml:space="preserve">Минск/Беларусь </t>
  </si>
  <si>
    <t xml:space="preserve">Беларусь </t>
  </si>
  <si>
    <t>Открытая (26.05.1982)/35</t>
  </si>
  <si>
    <t>1. Аксенчик Вадим</t>
  </si>
  <si>
    <t>Мастера 50 - 59 (17.12.1959)/58</t>
  </si>
  <si>
    <t>20,0</t>
  </si>
  <si>
    <t>7. Коробков Михаил</t>
  </si>
  <si>
    <t>Открытая (09.02.1989)/28</t>
  </si>
  <si>
    <t>6. Бурмистров Андрей</t>
  </si>
  <si>
    <t xml:space="preserve">Зубков П.В. </t>
  </si>
  <si>
    <t>Открытая (26.08.1976)/41</t>
  </si>
  <si>
    <t>5. Клабуков Сергей</t>
  </si>
  <si>
    <t>86,00</t>
  </si>
  <si>
    <t>Открытая (19.10.1993)/24</t>
  </si>
  <si>
    <t>4. Добрынин Сергей</t>
  </si>
  <si>
    <t>3. Баймешев Эдуард</t>
  </si>
  <si>
    <t xml:space="preserve">Зарайск/Московская область </t>
  </si>
  <si>
    <t>Открытая (08.02.1990)/27</t>
  </si>
  <si>
    <t>2. Грунев Александр</t>
  </si>
  <si>
    <t>Открытая (17.12.1959)/58</t>
  </si>
  <si>
    <t>75,20</t>
  </si>
  <si>
    <t>Мастера 40 - 49 (19.06.1973)/44</t>
  </si>
  <si>
    <t>2. Шарандов Олег</t>
  </si>
  <si>
    <t xml:space="preserve">Электроугли/Московская область </t>
  </si>
  <si>
    <t>Мастера 40 - 49 (27.02.1969)/48</t>
  </si>
  <si>
    <t>1. Муравьёв Владимир</t>
  </si>
  <si>
    <t>79,40</t>
  </si>
  <si>
    <t>2. Побережец Андрей</t>
  </si>
  <si>
    <t>1. Кечкин Арсений</t>
  </si>
  <si>
    <t xml:space="preserve">Заболотников И. </t>
  </si>
  <si>
    <t>70,60</t>
  </si>
  <si>
    <t>Юниоры 20 - 23 (22.08.1996)/21</t>
  </si>
  <si>
    <t xml:space="preserve">Никулин Е. </t>
  </si>
  <si>
    <t>59,0</t>
  </si>
  <si>
    <t>Открытая (17.06.1979)/38</t>
  </si>
  <si>
    <t>1. Заболотников Иван</t>
  </si>
  <si>
    <t xml:space="preserve">Шинов И.Б. </t>
  </si>
  <si>
    <t>21,0</t>
  </si>
  <si>
    <t>71,90</t>
  </si>
  <si>
    <t>Мастера 40 - 49 (24.05.1976)/41</t>
  </si>
  <si>
    <t>1. Зощик Марина</t>
  </si>
  <si>
    <t>Первый открытый Чемпионат России по НЖ
WPU Народный жим (1 вес)
Москва 16 - 17 декабря 2017 г.</t>
  </si>
  <si>
    <t>Козлов В.В., Солянков Н.Г.</t>
  </si>
  <si>
    <t>II</t>
  </si>
  <si>
    <t>I</t>
  </si>
  <si>
    <t>III</t>
  </si>
  <si>
    <t>-</t>
  </si>
  <si>
    <t>МС</t>
  </si>
  <si>
    <t>КМС</t>
  </si>
  <si>
    <t>II юн.</t>
  </si>
  <si>
    <t>Присвоенный разряд</t>
  </si>
  <si>
    <t>МСМК</t>
  </si>
  <si>
    <t>I юн.</t>
  </si>
  <si>
    <t>Элита</t>
  </si>
  <si>
    <t>Первый Открытый Чемпионат России
WPU c ДК Жим лежа в Однослойной экипировке
Москва 16 - 17 декабря 2017 г.</t>
  </si>
  <si>
    <t>Первый Открытый Чемпионат России
WPU Жим лежа Безэкипировочный
Москва 16 - 17 декабря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</si>
</sst>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left"/>
    </xf>
    <xf numFmtId="49" fontId="0" fillId="0" borderId="31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 horizontal="left"/>
    </xf>
    <xf numFmtId="49" fontId="0" fillId="0" borderId="33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="70" zoomScaleNormal="70"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375" style="5" customWidth="1"/>
    <col min="3" max="3" width="29.75390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2.875" style="5" bestFit="1" customWidth="1"/>
    <col min="8" max="10" width="5.625" style="4" bestFit="1" customWidth="1"/>
    <col min="11" max="11" width="4.875" style="4" bestFit="1" customWidth="1"/>
    <col min="12" max="14" width="5.625" style="4" bestFit="1" customWidth="1"/>
    <col min="15" max="15" width="4.875" style="4" bestFit="1" customWidth="1"/>
    <col min="16" max="18" width="5.625" style="4" bestFit="1" customWidth="1"/>
    <col min="19" max="19" width="4.875" style="4" bestFit="1" customWidth="1"/>
    <col min="20" max="20" width="7.875" style="5" bestFit="1" customWidth="1"/>
    <col min="21" max="21" width="8.625" style="4" bestFit="1" customWidth="1"/>
    <col min="22" max="22" width="15.75390625" style="5" bestFit="1" customWidth="1"/>
    <col min="23" max="16384" width="9.125" style="4" customWidth="1"/>
  </cols>
  <sheetData>
    <row r="1" spans="1:22" s="3" customFormat="1" ht="28.5" customHeight="1">
      <c r="A1" s="38" t="s">
        <v>1637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22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</row>
    <row r="3" spans="1:22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1</v>
      </c>
      <c r="I3" s="30"/>
      <c r="J3" s="30"/>
      <c r="K3" s="30"/>
      <c r="L3" s="30" t="s">
        <v>2</v>
      </c>
      <c r="M3" s="30"/>
      <c r="N3" s="30"/>
      <c r="O3" s="30"/>
      <c r="P3" s="30" t="s">
        <v>3</v>
      </c>
      <c r="Q3" s="30"/>
      <c r="R3" s="30"/>
      <c r="S3" s="30"/>
      <c r="T3" s="30" t="s">
        <v>4</v>
      </c>
      <c r="U3" s="30" t="s">
        <v>6</v>
      </c>
      <c r="V3" s="32" t="s">
        <v>5</v>
      </c>
    </row>
    <row r="4" spans="1:22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2">
        <v>1</v>
      </c>
      <c r="M4" s="2">
        <v>2</v>
      </c>
      <c r="N4" s="2">
        <v>3</v>
      </c>
      <c r="O4" s="2" t="s">
        <v>8</v>
      </c>
      <c r="P4" s="2">
        <v>1</v>
      </c>
      <c r="Q4" s="2">
        <v>2</v>
      </c>
      <c r="R4" s="2">
        <v>3</v>
      </c>
      <c r="S4" s="2" t="s">
        <v>8</v>
      </c>
      <c r="T4" s="31"/>
      <c r="U4" s="31"/>
      <c r="V4" s="33"/>
    </row>
    <row r="5" spans="1:22" ht="15">
      <c r="A5" s="49" t="s">
        <v>552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2.75">
      <c r="A6" s="6" t="s">
        <v>553</v>
      </c>
      <c r="B6" s="6" t="s">
        <v>1887</v>
      </c>
      <c r="C6" s="6" t="s">
        <v>554</v>
      </c>
      <c r="D6" s="6" t="s">
        <v>555</v>
      </c>
      <c r="E6" s="6" t="str">
        <f>"1,3762"</f>
        <v>1,3762</v>
      </c>
      <c r="F6" s="6" t="s">
        <v>18</v>
      </c>
      <c r="G6" s="6" t="s">
        <v>19</v>
      </c>
      <c r="H6" s="7" t="s">
        <v>225</v>
      </c>
      <c r="I6" s="7" t="s">
        <v>124</v>
      </c>
      <c r="J6" s="8" t="s">
        <v>556</v>
      </c>
      <c r="K6" s="8"/>
      <c r="L6" s="7" t="s">
        <v>557</v>
      </c>
      <c r="M6" s="7" t="s">
        <v>558</v>
      </c>
      <c r="N6" s="8" t="s">
        <v>559</v>
      </c>
      <c r="O6" s="8"/>
      <c r="P6" s="7" t="s">
        <v>556</v>
      </c>
      <c r="Q6" s="7" t="s">
        <v>117</v>
      </c>
      <c r="R6" s="8" t="s">
        <v>281</v>
      </c>
      <c r="S6" s="8"/>
      <c r="T6" s="6" t="str">
        <f>"182,5"</f>
        <v>182,5</v>
      </c>
      <c r="U6" s="7" t="str">
        <f>"251,1565"</f>
        <v>251,1565</v>
      </c>
      <c r="V6" s="6" t="s">
        <v>560</v>
      </c>
    </row>
    <row r="8" spans="1:22" ht="15">
      <c r="A8" s="48" t="s">
        <v>103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ht="12.75">
      <c r="A9" s="9" t="s">
        <v>561</v>
      </c>
      <c r="B9" s="9" t="s">
        <v>1888</v>
      </c>
      <c r="C9" s="9" t="s">
        <v>562</v>
      </c>
      <c r="D9" s="9" t="s">
        <v>563</v>
      </c>
      <c r="E9" s="9" t="str">
        <f>"1,1295"</f>
        <v>1,1295</v>
      </c>
      <c r="F9" s="9" t="s">
        <v>18</v>
      </c>
      <c r="G9" s="9" t="s">
        <v>19</v>
      </c>
      <c r="H9" s="10" t="s">
        <v>282</v>
      </c>
      <c r="I9" s="11" t="s">
        <v>282</v>
      </c>
      <c r="J9" s="10" t="s">
        <v>232</v>
      </c>
      <c r="K9" s="10"/>
      <c r="L9" s="11" t="s">
        <v>225</v>
      </c>
      <c r="M9" s="11" t="s">
        <v>124</v>
      </c>
      <c r="N9" s="10" t="s">
        <v>116</v>
      </c>
      <c r="O9" s="10"/>
      <c r="P9" s="11" t="s">
        <v>91</v>
      </c>
      <c r="Q9" s="10" t="s">
        <v>90</v>
      </c>
      <c r="R9" s="11" t="s">
        <v>90</v>
      </c>
      <c r="S9" s="10"/>
      <c r="T9" s="9" t="str">
        <f>"260,0"</f>
        <v>260,0</v>
      </c>
      <c r="U9" s="11" t="str">
        <f>"293,6700"</f>
        <v>293,6700</v>
      </c>
      <c r="V9" s="9" t="s">
        <v>564</v>
      </c>
    </row>
    <row r="10" spans="1:22" ht="12.75">
      <c r="A10" s="23" t="s">
        <v>565</v>
      </c>
      <c r="B10" s="23" t="s">
        <v>1889</v>
      </c>
      <c r="C10" s="23" t="s">
        <v>566</v>
      </c>
      <c r="D10" s="23" t="s">
        <v>567</v>
      </c>
      <c r="E10" s="23" t="str">
        <f>"1,1355"</f>
        <v>1,1355</v>
      </c>
      <c r="F10" s="23" t="s">
        <v>18</v>
      </c>
      <c r="G10" s="23" t="s">
        <v>19</v>
      </c>
      <c r="H10" s="24" t="s">
        <v>99</v>
      </c>
      <c r="I10" s="24" t="s">
        <v>124</v>
      </c>
      <c r="J10" s="25" t="s">
        <v>116</v>
      </c>
      <c r="K10" s="25"/>
      <c r="L10" s="24" t="s">
        <v>557</v>
      </c>
      <c r="M10" s="24" t="s">
        <v>558</v>
      </c>
      <c r="N10" s="25" t="s">
        <v>559</v>
      </c>
      <c r="O10" s="25"/>
      <c r="P10" s="24" t="s">
        <v>116</v>
      </c>
      <c r="Q10" s="24" t="s">
        <v>125</v>
      </c>
      <c r="R10" s="24" t="s">
        <v>281</v>
      </c>
      <c r="S10" s="25"/>
      <c r="T10" s="23" t="str">
        <f>"185,0"</f>
        <v>185,0</v>
      </c>
      <c r="U10" s="24" t="str">
        <f>"210,0675"</f>
        <v>210,0675</v>
      </c>
      <c r="V10" s="23" t="s">
        <v>568</v>
      </c>
    </row>
    <row r="11" spans="1:22" ht="12.75">
      <c r="A11" s="12" t="s">
        <v>569</v>
      </c>
      <c r="B11" s="12" t="s">
        <v>1890</v>
      </c>
      <c r="C11" s="12" t="s">
        <v>570</v>
      </c>
      <c r="D11" s="12" t="s">
        <v>571</v>
      </c>
      <c r="E11" s="12" t="str">
        <f>"1,1221"</f>
        <v>1,1221</v>
      </c>
      <c r="F11" s="12" t="s">
        <v>18</v>
      </c>
      <c r="G11" s="12" t="s">
        <v>19</v>
      </c>
      <c r="H11" s="13" t="s">
        <v>90</v>
      </c>
      <c r="I11" s="13" t="s">
        <v>258</v>
      </c>
      <c r="J11" s="13" t="s">
        <v>258</v>
      </c>
      <c r="K11" s="13"/>
      <c r="L11" s="13" t="s">
        <v>99</v>
      </c>
      <c r="M11" s="13"/>
      <c r="N11" s="13"/>
      <c r="O11" s="13"/>
      <c r="P11" s="13" t="s">
        <v>100</v>
      </c>
      <c r="Q11" s="13"/>
      <c r="R11" s="13"/>
      <c r="S11" s="13"/>
      <c r="T11" s="12" t="str">
        <f>"0,0"</f>
        <v>0,0</v>
      </c>
      <c r="U11" s="14" t="str">
        <f>"0,0000"</f>
        <v>0,0000</v>
      </c>
      <c r="V11" s="12" t="s">
        <v>572</v>
      </c>
    </row>
    <row r="13" spans="1:22" ht="15">
      <c r="A13" s="48" t="s">
        <v>110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ht="12.75">
      <c r="A14" s="6" t="s">
        <v>573</v>
      </c>
      <c r="B14" s="6" t="s">
        <v>1887</v>
      </c>
      <c r="C14" s="6" t="s">
        <v>574</v>
      </c>
      <c r="D14" s="6" t="s">
        <v>575</v>
      </c>
      <c r="E14" s="6" t="str">
        <f>"1,0328"</f>
        <v>1,0328</v>
      </c>
      <c r="F14" s="6" t="s">
        <v>18</v>
      </c>
      <c r="G14" s="6" t="s">
        <v>19</v>
      </c>
      <c r="H14" s="8" t="s">
        <v>281</v>
      </c>
      <c r="I14" s="7" t="s">
        <v>282</v>
      </c>
      <c r="J14" s="8" t="s">
        <v>576</v>
      </c>
      <c r="K14" s="8"/>
      <c r="L14" s="7" t="s">
        <v>108</v>
      </c>
      <c r="M14" s="7" t="s">
        <v>97</v>
      </c>
      <c r="N14" s="8" t="s">
        <v>577</v>
      </c>
      <c r="O14" s="8"/>
      <c r="P14" s="7" t="s">
        <v>282</v>
      </c>
      <c r="Q14" s="7" t="s">
        <v>232</v>
      </c>
      <c r="R14" s="7" t="s">
        <v>133</v>
      </c>
      <c r="S14" s="8"/>
      <c r="T14" s="6" t="str">
        <f>"230,0"</f>
        <v>230,0</v>
      </c>
      <c r="U14" s="7" t="str">
        <f>"244,9079"</f>
        <v>244,9079</v>
      </c>
      <c r="V14" s="6" t="s">
        <v>578</v>
      </c>
    </row>
    <row r="16" spans="1:22" ht="15">
      <c r="A16" s="48" t="s">
        <v>128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12.75">
      <c r="A17" s="9" t="s">
        <v>579</v>
      </c>
      <c r="B17" s="9" t="s">
        <v>1888</v>
      </c>
      <c r="C17" s="9" t="s">
        <v>562</v>
      </c>
      <c r="D17" s="9" t="s">
        <v>580</v>
      </c>
      <c r="E17" s="9" t="str">
        <f>"0,9725"</f>
        <v>0,9725</v>
      </c>
      <c r="F17" s="9" t="s">
        <v>34</v>
      </c>
      <c r="G17" s="9" t="s">
        <v>521</v>
      </c>
      <c r="H17" s="11" t="s">
        <v>133</v>
      </c>
      <c r="I17" s="11" t="s">
        <v>139</v>
      </c>
      <c r="J17" s="11" t="s">
        <v>90</v>
      </c>
      <c r="K17" s="10"/>
      <c r="L17" s="11" t="s">
        <v>97</v>
      </c>
      <c r="M17" s="11" t="s">
        <v>99</v>
      </c>
      <c r="N17" s="10" t="s">
        <v>581</v>
      </c>
      <c r="O17" s="10"/>
      <c r="P17" s="11" t="s">
        <v>109</v>
      </c>
      <c r="Q17" s="11" t="s">
        <v>126</v>
      </c>
      <c r="R17" s="11" t="s">
        <v>39</v>
      </c>
      <c r="S17" s="10"/>
      <c r="T17" s="9" t="str">
        <f>"307,5"</f>
        <v>307,5</v>
      </c>
      <c r="U17" s="11" t="str">
        <f>"299,0438"</f>
        <v>299,0438</v>
      </c>
      <c r="V17" s="9" t="s">
        <v>568</v>
      </c>
    </row>
    <row r="18" spans="1:22" ht="12.75">
      <c r="A18" s="12" t="s">
        <v>582</v>
      </c>
      <c r="B18" s="12" t="s">
        <v>1887</v>
      </c>
      <c r="C18" s="12" t="s">
        <v>583</v>
      </c>
      <c r="D18" s="12" t="s">
        <v>584</v>
      </c>
      <c r="E18" s="12" t="str">
        <f>"0,9514"</f>
        <v>0,9514</v>
      </c>
      <c r="F18" s="12" t="s">
        <v>18</v>
      </c>
      <c r="G18" s="12" t="s">
        <v>19</v>
      </c>
      <c r="H18" s="14" t="s">
        <v>232</v>
      </c>
      <c r="I18" s="14" t="s">
        <v>275</v>
      </c>
      <c r="J18" s="13" t="s">
        <v>139</v>
      </c>
      <c r="K18" s="13"/>
      <c r="L18" s="14" t="s">
        <v>98</v>
      </c>
      <c r="M18" s="13" t="s">
        <v>225</v>
      </c>
      <c r="N18" s="13" t="s">
        <v>225</v>
      </c>
      <c r="O18" s="13"/>
      <c r="P18" s="14" t="s">
        <v>90</v>
      </c>
      <c r="Q18" s="13" t="s">
        <v>100</v>
      </c>
      <c r="R18" s="13"/>
      <c r="S18" s="13"/>
      <c r="T18" s="12" t="str">
        <f>"262,5"</f>
        <v>262,5</v>
      </c>
      <c r="U18" s="14" t="str">
        <f>"249,7425"</f>
        <v>249,7425</v>
      </c>
      <c r="V18" s="12" t="s">
        <v>585</v>
      </c>
    </row>
    <row r="20" spans="1:22" ht="15">
      <c r="A20" s="48" t="s">
        <v>128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ht="12.75">
      <c r="A21" s="9" t="s">
        <v>586</v>
      </c>
      <c r="B21" s="9" t="s">
        <v>1889</v>
      </c>
      <c r="C21" s="9" t="s">
        <v>587</v>
      </c>
      <c r="D21" s="9" t="s">
        <v>588</v>
      </c>
      <c r="E21" s="9" t="str">
        <f>"0,7486"</f>
        <v>0,7486</v>
      </c>
      <c r="F21" s="9" t="s">
        <v>18</v>
      </c>
      <c r="G21" s="9" t="s">
        <v>19</v>
      </c>
      <c r="H21" s="11" t="s">
        <v>109</v>
      </c>
      <c r="I21" s="11" t="s">
        <v>123</v>
      </c>
      <c r="J21" s="10" t="s">
        <v>39</v>
      </c>
      <c r="K21" s="10"/>
      <c r="L21" s="10" t="s">
        <v>125</v>
      </c>
      <c r="M21" s="10" t="s">
        <v>125</v>
      </c>
      <c r="N21" s="11" t="s">
        <v>281</v>
      </c>
      <c r="O21" s="10"/>
      <c r="P21" s="11" t="s">
        <v>109</v>
      </c>
      <c r="Q21" s="11" t="s">
        <v>123</v>
      </c>
      <c r="R21" s="11" t="s">
        <v>23</v>
      </c>
      <c r="S21" s="10"/>
      <c r="T21" s="9" t="str">
        <f>"360,0"</f>
        <v>360,0</v>
      </c>
      <c r="U21" s="11" t="str">
        <f>"269,4960"</f>
        <v>269,4960</v>
      </c>
      <c r="V21" s="9" t="s">
        <v>589</v>
      </c>
    </row>
    <row r="22" spans="1:22" ht="12.75">
      <c r="A22" s="12" t="s">
        <v>590</v>
      </c>
      <c r="B22" s="12" t="s">
        <v>1888</v>
      </c>
      <c r="C22" s="12" t="s">
        <v>591</v>
      </c>
      <c r="D22" s="12" t="s">
        <v>592</v>
      </c>
      <c r="E22" s="12" t="str">
        <f>"0,7527"</f>
        <v>0,7527</v>
      </c>
      <c r="F22" s="12" t="s">
        <v>593</v>
      </c>
      <c r="G22" s="12" t="s">
        <v>594</v>
      </c>
      <c r="H22" s="14" t="s">
        <v>109</v>
      </c>
      <c r="I22" s="14" t="s">
        <v>39</v>
      </c>
      <c r="J22" s="13" t="s">
        <v>114</v>
      </c>
      <c r="K22" s="13"/>
      <c r="L22" s="14" t="s">
        <v>222</v>
      </c>
      <c r="M22" s="14" t="s">
        <v>109</v>
      </c>
      <c r="N22" s="13" t="s">
        <v>123</v>
      </c>
      <c r="O22" s="13"/>
      <c r="P22" s="14" t="s">
        <v>115</v>
      </c>
      <c r="Q22" s="14" t="s">
        <v>61</v>
      </c>
      <c r="R22" s="13" t="s">
        <v>64</v>
      </c>
      <c r="S22" s="13"/>
      <c r="T22" s="12" t="str">
        <f>"445,0"</f>
        <v>445,0</v>
      </c>
      <c r="U22" s="14" t="str">
        <f>"334,9515"</f>
        <v>334,9515</v>
      </c>
      <c r="V22" s="12" t="s">
        <v>595</v>
      </c>
    </row>
    <row r="24" spans="1:22" ht="15">
      <c r="A24" s="48" t="s">
        <v>13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12.75">
      <c r="A25" s="9" t="s">
        <v>597</v>
      </c>
      <c r="B25" s="9" t="s">
        <v>1891</v>
      </c>
      <c r="C25" s="9" t="s">
        <v>598</v>
      </c>
      <c r="D25" s="9" t="s">
        <v>17</v>
      </c>
      <c r="E25" s="9" t="str">
        <f>"0,6699"</f>
        <v>0,6699</v>
      </c>
      <c r="F25" s="9" t="s">
        <v>34</v>
      </c>
      <c r="G25" s="9" t="s">
        <v>599</v>
      </c>
      <c r="H25" s="10" t="s">
        <v>61</v>
      </c>
      <c r="I25" s="11" t="s">
        <v>61</v>
      </c>
      <c r="J25" s="11" t="s">
        <v>62</v>
      </c>
      <c r="K25" s="10"/>
      <c r="L25" s="11" t="s">
        <v>96</v>
      </c>
      <c r="M25" s="10" t="s">
        <v>39</v>
      </c>
      <c r="N25" s="11" t="s">
        <v>23</v>
      </c>
      <c r="O25" s="10"/>
      <c r="P25" s="11" t="s">
        <v>22</v>
      </c>
      <c r="Q25" s="11" t="s">
        <v>49</v>
      </c>
      <c r="R25" s="11" t="s">
        <v>72</v>
      </c>
      <c r="S25" s="10"/>
      <c r="T25" s="9" t="str">
        <f>"595,0"</f>
        <v>595,0</v>
      </c>
      <c r="U25" s="11" t="str">
        <f>"398,5905"</f>
        <v>398,5905</v>
      </c>
      <c r="V25" s="9" t="s">
        <v>29</v>
      </c>
    </row>
    <row r="26" spans="1:22" ht="12.75">
      <c r="A26" s="23" t="s">
        <v>600</v>
      </c>
      <c r="B26" s="23" t="s">
        <v>1888</v>
      </c>
      <c r="C26" s="23" t="s">
        <v>601</v>
      </c>
      <c r="D26" s="23" t="s">
        <v>602</v>
      </c>
      <c r="E26" s="23" t="str">
        <f>"0,6811"</f>
        <v>0,6811</v>
      </c>
      <c r="F26" s="23" t="s">
        <v>34</v>
      </c>
      <c r="G26" s="23" t="s">
        <v>167</v>
      </c>
      <c r="H26" s="24" t="s">
        <v>25</v>
      </c>
      <c r="I26" s="24" t="s">
        <v>151</v>
      </c>
      <c r="J26" s="24" t="s">
        <v>61</v>
      </c>
      <c r="K26" s="25"/>
      <c r="L26" s="24" t="s">
        <v>91</v>
      </c>
      <c r="M26" s="24" t="s">
        <v>90</v>
      </c>
      <c r="N26" s="25" t="s">
        <v>222</v>
      </c>
      <c r="O26" s="25"/>
      <c r="P26" s="24" t="s">
        <v>61</v>
      </c>
      <c r="Q26" s="24" t="s">
        <v>62</v>
      </c>
      <c r="R26" s="24" t="s">
        <v>64</v>
      </c>
      <c r="S26" s="25"/>
      <c r="T26" s="23" t="str">
        <f>"490,0"</f>
        <v>490,0</v>
      </c>
      <c r="U26" s="24" t="str">
        <f>"333,7390"</f>
        <v>333,7390</v>
      </c>
      <c r="V26" s="23"/>
    </row>
    <row r="27" spans="1:22" ht="12.75">
      <c r="A27" s="23" t="s">
        <v>603</v>
      </c>
      <c r="B27" s="23" t="s">
        <v>1887</v>
      </c>
      <c r="C27" s="23" t="s">
        <v>604</v>
      </c>
      <c r="D27" s="23" t="s">
        <v>605</v>
      </c>
      <c r="E27" s="23" t="str">
        <f>"0,6709"</f>
        <v>0,6709</v>
      </c>
      <c r="F27" s="23" t="s">
        <v>18</v>
      </c>
      <c r="G27" s="23" t="s">
        <v>19</v>
      </c>
      <c r="H27" s="25" t="s">
        <v>222</v>
      </c>
      <c r="I27" s="25" t="s">
        <v>222</v>
      </c>
      <c r="J27" s="24" t="s">
        <v>222</v>
      </c>
      <c r="K27" s="25"/>
      <c r="L27" s="24" t="s">
        <v>222</v>
      </c>
      <c r="M27" s="24" t="s">
        <v>100</v>
      </c>
      <c r="N27" s="25" t="s">
        <v>109</v>
      </c>
      <c r="O27" s="25"/>
      <c r="P27" s="24" t="s">
        <v>25</v>
      </c>
      <c r="Q27" s="24" t="s">
        <v>118</v>
      </c>
      <c r="R27" s="25" t="s">
        <v>151</v>
      </c>
      <c r="S27" s="25"/>
      <c r="T27" s="23" t="str">
        <f>"405,0"</f>
        <v>405,0</v>
      </c>
      <c r="U27" s="24" t="str">
        <f>"271,7145"</f>
        <v>271,7145</v>
      </c>
      <c r="V27" s="23"/>
    </row>
    <row r="28" spans="1:22" ht="12.75">
      <c r="A28" s="12" t="s">
        <v>606</v>
      </c>
      <c r="B28" s="12" t="s">
        <v>1892</v>
      </c>
      <c r="C28" s="12" t="s">
        <v>607</v>
      </c>
      <c r="D28" s="12" t="s">
        <v>608</v>
      </c>
      <c r="E28" s="12" t="str">
        <f>"0,6714"</f>
        <v>0,6714</v>
      </c>
      <c r="F28" s="12" t="s">
        <v>18</v>
      </c>
      <c r="G28" s="12" t="s">
        <v>19</v>
      </c>
      <c r="H28" s="14" t="s">
        <v>197</v>
      </c>
      <c r="I28" s="14" t="s">
        <v>326</v>
      </c>
      <c r="J28" s="14" t="s">
        <v>177</v>
      </c>
      <c r="K28" s="13"/>
      <c r="L28" s="14" t="s">
        <v>258</v>
      </c>
      <c r="M28" s="13" t="s">
        <v>222</v>
      </c>
      <c r="N28" s="14" t="s">
        <v>222</v>
      </c>
      <c r="O28" s="13"/>
      <c r="P28" s="14" t="s">
        <v>64</v>
      </c>
      <c r="Q28" s="14" t="s">
        <v>321</v>
      </c>
      <c r="R28" s="13" t="s">
        <v>153</v>
      </c>
      <c r="S28" s="13"/>
      <c r="T28" s="12" t="str">
        <f>"507,5"</f>
        <v>507,5</v>
      </c>
      <c r="U28" s="14" t="str">
        <f>"359,4760"</f>
        <v>359,4760</v>
      </c>
      <c r="V28" s="12" t="s">
        <v>29</v>
      </c>
    </row>
    <row r="30" spans="1:22" ht="15">
      <c r="A30" s="48" t="s">
        <v>155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ht="12.75">
      <c r="A31" s="9" t="s">
        <v>609</v>
      </c>
      <c r="B31" s="9" t="s">
        <v>1890</v>
      </c>
      <c r="C31" s="9" t="s">
        <v>610</v>
      </c>
      <c r="D31" s="9" t="s">
        <v>611</v>
      </c>
      <c r="E31" s="9" t="str">
        <f>"0,6557"</f>
        <v>0,6557</v>
      </c>
      <c r="F31" s="9" t="s">
        <v>18</v>
      </c>
      <c r="G31" s="9" t="s">
        <v>19</v>
      </c>
      <c r="H31" s="10" t="s">
        <v>321</v>
      </c>
      <c r="I31" s="10" t="s">
        <v>321</v>
      </c>
      <c r="J31" s="10" t="s">
        <v>321</v>
      </c>
      <c r="K31" s="10"/>
      <c r="L31" s="10" t="s">
        <v>123</v>
      </c>
      <c r="M31" s="10"/>
      <c r="N31" s="10"/>
      <c r="O31" s="10"/>
      <c r="P31" s="10" t="s">
        <v>37</v>
      </c>
      <c r="Q31" s="10"/>
      <c r="R31" s="10"/>
      <c r="S31" s="10"/>
      <c r="T31" s="9" t="str">
        <f>"0,0"</f>
        <v>0,0</v>
      </c>
      <c r="U31" s="11" t="str">
        <f>"0,0000"</f>
        <v>0,0000</v>
      </c>
      <c r="V31" s="9" t="s">
        <v>200</v>
      </c>
    </row>
    <row r="32" spans="1:22" ht="12.75">
      <c r="A32" s="23" t="s">
        <v>612</v>
      </c>
      <c r="B32" s="23" t="s">
        <v>1888</v>
      </c>
      <c r="C32" s="23" t="s">
        <v>613</v>
      </c>
      <c r="D32" s="23" t="s">
        <v>614</v>
      </c>
      <c r="E32" s="23" t="str">
        <f>"0,6536"</f>
        <v>0,6536</v>
      </c>
      <c r="F32" s="23" t="s">
        <v>18</v>
      </c>
      <c r="G32" s="23" t="s">
        <v>19</v>
      </c>
      <c r="H32" s="24" t="s">
        <v>24</v>
      </c>
      <c r="I32" s="24" t="s">
        <v>115</v>
      </c>
      <c r="J32" s="25" t="s">
        <v>118</v>
      </c>
      <c r="K32" s="25"/>
      <c r="L32" s="25" t="s">
        <v>109</v>
      </c>
      <c r="M32" s="24" t="s">
        <v>109</v>
      </c>
      <c r="N32" s="24" t="s">
        <v>96</v>
      </c>
      <c r="O32" s="25"/>
      <c r="P32" s="24" t="s">
        <v>63</v>
      </c>
      <c r="Q32" s="24" t="s">
        <v>321</v>
      </c>
      <c r="R32" s="25" t="s">
        <v>37</v>
      </c>
      <c r="S32" s="25"/>
      <c r="T32" s="23" t="str">
        <f>"495,0"</f>
        <v>495,0</v>
      </c>
      <c r="U32" s="24" t="str">
        <f>"326,7673"</f>
        <v>326,7673</v>
      </c>
      <c r="V32" s="23"/>
    </row>
    <row r="33" spans="1:22" ht="12.75">
      <c r="A33" s="12" t="s">
        <v>615</v>
      </c>
      <c r="B33" s="12" t="s">
        <v>1888</v>
      </c>
      <c r="C33" s="12" t="s">
        <v>616</v>
      </c>
      <c r="D33" s="12" t="s">
        <v>617</v>
      </c>
      <c r="E33" s="12" t="str">
        <f>"0,6487"</f>
        <v>0,6487</v>
      </c>
      <c r="F33" s="12" t="s">
        <v>618</v>
      </c>
      <c r="G33" s="12" t="s">
        <v>619</v>
      </c>
      <c r="H33" s="14" t="s">
        <v>90</v>
      </c>
      <c r="I33" s="14" t="s">
        <v>96</v>
      </c>
      <c r="J33" s="13"/>
      <c r="K33" s="13"/>
      <c r="L33" s="14" t="s">
        <v>91</v>
      </c>
      <c r="M33" s="14" t="s">
        <v>90</v>
      </c>
      <c r="N33" s="13"/>
      <c r="O33" s="13"/>
      <c r="P33" s="14" t="s">
        <v>96</v>
      </c>
      <c r="Q33" s="14" t="s">
        <v>115</v>
      </c>
      <c r="R33" s="13" t="s">
        <v>118</v>
      </c>
      <c r="S33" s="13"/>
      <c r="T33" s="12" t="str">
        <f>"400,0"</f>
        <v>400,0</v>
      </c>
      <c r="U33" s="14" t="str">
        <f>"361,4556"</f>
        <v>361,4556</v>
      </c>
      <c r="V33" s="12"/>
    </row>
    <row r="35" spans="1:22" ht="15">
      <c r="A35" s="48" t="s">
        <v>30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ht="12.75">
      <c r="A36" s="9" t="s">
        <v>620</v>
      </c>
      <c r="B36" s="9" t="s">
        <v>1892</v>
      </c>
      <c r="C36" s="9" t="s">
        <v>621</v>
      </c>
      <c r="D36" s="9" t="s">
        <v>366</v>
      </c>
      <c r="E36" s="9" t="str">
        <f>"0,6108"</f>
        <v>0,6108</v>
      </c>
      <c r="F36" s="9" t="s">
        <v>34</v>
      </c>
      <c r="G36" s="9" t="s">
        <v>622</v>
      </c>
      <c r="H36" s="10" t="s">
        <v>61</v>
      </c>
      <c r="I36" s="11" t="s">
        <v>61</v>
      </c>
      <c r="J36" s="10" t="s">
        <v>64</v>
      </c>
      <c r="K36" s="10"/>
      <c r="L36" s="11" t="s">
        <v>114</v>
      </c>
      <c r="M36" s="10" t="s">
        <v>115</v>
      </c>
      <c r="N36" s="10" t="s">
        <v>115</v>
      </c>
      <c r="O36" s="10"/>
      <c r="P36" s="11" t="s">
        <v>60</v>
      </c>
      <c r="Q36" s="11" t="s">
        <v>27</v>
      </c>
      <c r="R36" s="10" t="s">
        <v>160</v>
      </c>
      <c r="S36" s="10"/>
      <c r="T36" s="9" t="str">
        <f>"575,0"</f>
        <v>575,0</v>
      </c>
      <c r="U36" s="11" t="str">
        <f>"351,2100"</f>
        <v>351,2100</v>
      </c>
      <c r="V36" s="9" t="s">
        <v>29</v>
      </c>
    </row>
    <row r="37" spans="1:22" ht="12.75">
      <c r="A37" s="23" t="s">
        <v>623</v>
      </c>
      <c r="B37" s="23" t="s">
        <v>1888</v>
      </c>
      <c r="C37" s="23" t="s">
        <v>624</v>
      </c>
      <c r="D37" s="23" t="s">
        <v>625</v>
      </c>
      <c r="E37" s="23" t="str">
        <f>"0,6103"</f>
        <v>0,6103</v>
      </c>
      <c r="F37" s="23" t="s">
        <v>34</v>
      </c>
      <c r="G37" s="23" t="s">
        <v>626</v>
      </c>
      <c r="H37" s="24" t="s">
        <v>115</v>
      </c>
      <c r="I37" s="24" t="s">
        <v>118</v>
      </c>
      <c r="J37" s="24" t="s">
        <v>61</v>
      </c>
      <c r="K37" s="25"/>
      <c r="L37" s="24" t="s">
        <v>109</v>
      </c>
      <c r="M37" s="24" t="s">
        <v>123</v>
      </c>
      <c r="N37" s="25" t="s">
        <v>188</v>
      </c>
      <c r="O37" s="25"/>
      <c r="P37" s="24" t="s">
        <v>64</v>
      </c>
      <c r="Q37" s="25" t="s">
        <v>37</v>
      </c>
      <c r="R37" s="25" t="s">
        <v>37</v>
      </c>
      <c r="S37" s="25"/>
      <c r="T37" s="23" t="str">
        <f>"515,0"</f>
        <v>515,0</v>
      </c>
      <c r="U37" s="24" t="str">
        <f>"314,3045"</f>
        <v>314,3045</v>
      </c>
      <c r="V37" s="23" t="s">
        <v>627</v>
      </c>
    </row>
    <row r="38" spans="1:22" ht="12.75">
      <c r="A38" s="23" t="s">
        <v>628</v>
      </c>
      <c r="B38" s="23" t="s">
        <v>1893</v>
      </c>
      <c r="C38" s="23" t="s">
        <v>629</v>
      </c>
      <c r="D38" s="23" t="s">
        <v>630</v>
      </c>
      <c r="E38" s="23" t="str">
        <f>"0,6217"</f>
        <v>0,6217</v>
      </c>
      <c r="F38" s="23" t="s">
        <v>18</v>
      </c>
      <c r="G38" s="23" t="s">
        <v>19</v>
      </c>
      <c r="H38" s="24" t="s">
        <v>91</v>
      </c>
      <c r="I38" s="25"/>
      <c r="J38" s="25"/>
      <c r="K38" s="25"/>
      <c r="L38" s="24" t="s">
        <v>116</v>
      </c>
      <c r="M38" s="25"/>
      <c r="N38" s="25"/>
      <c r="O38" s="25"/>
      <c r="P38" s="24" t="s">
        <v>91</v>
      </c>
      <c r="Q38" s="25"/>
      <c r="R38" s="25"/>
      <c r="S38" s="25"/>
      <c r="T38" s="23" t="str">
        <f>"270,0"</f>
        <v>270,0</v>
      </c>
      <c r="U38" s="24" t="str">
        <f>"167,8590"</f>
        <v>167,8590</v>
      </c>
      <c r="V38" s="23" t="s">
        <v>631</v>
      </c>
    </row>
    <row r="39" spans="1:22" ht="12.75">
      <c r="A39" s="23" t="s">
        <v>632</v>
      </c>
      <c r="B39" s="23" t="s">
        <v>1892</v>
      </c>
      <c r="C39" s="23" t="s">
        <v>633</v>
      </c>
      <c r="D39" s="23" t="s">
        <v>634</v>
      </c>
      <c r="E39" s="23" t="str">
        <f>"0,6155"</f>
        <v>0,6155</v>
      </c>
      <c r="F39" s="23" t="s">
        <v>34</v>
      </c>
      <c r="G39" s="23" t="s">
        <v>599</v>
      </c>
      <c r="H39" s="25" t="s">
        <v>20</v>
      </c>
      <c r="I39" s="25" t="s">
        <v>42</v>
      </c>
      <c r="J39" s="24" t="s">
        <v>42</v>
      </c>
      <c r="K39" s="25"/>
      <c r="L39" s="24" t="s">
        <v>123</v>
      </c>
      <c r="M39" s="25" t="s">
        <v>39</v>
      </c>
      <c r="N39" s="24" t="s">
        <v>288</v>
      </c>
      <c r="O39" s="25"/>
      <c r="P39" s="24" t="s">
        <v>49</v>
      </c>
      <c r="Q39" s="25" t="s">
        <v>72</v>
      </c>
      <c r="R39" s="25" t="s">
        <v>72</v>
      </c>
      <c r="S39" s="25"/>
      <c r="T39" s="23" t="str">
        <f>"607,5"</f>
        <v>607,5</v>
      </c>
      <c r="U39" s="24" t="str">
        <f>"373,9162"</f>
        <v>373,9162</v>
      </c>
      <c r="V39" s="23" t="s">
        <v>29</v>
      </c>
    </row>
    <row r="40" spans="1:22" ht="12.75">
      <c r="A40" s="12" t="s">
        <v>635</v>
      </c>
      <c r="B40" s="12" t="s">
        <v>1888</v>
      </c>
      <c r="C40" s="12" t="s">
        <v>636</v>
      </c>
      <c r="D40" s="12" t="s">
        <v>637</v>
      </c>
      <c r="E40" s="12" t="str">
        <f>"0,6244"</f>
        <v>0,6244</v>
      </c>
      <c r="F40" s="12" t="s">
        <v>34</v>
      </c>
      <c r="G40" s="12" t="s">
        <v>638</v>
      </c>
      <c r="H40" s="14" t="s">
        <v>115</v>
      </c>
      <c r="I40" s="13" t="s">
        <v>151</v>
      </c>
      <c r="J40" s="14" t="s">
        <v>61</v>
      </c>
      <c r="K40" s="13"/>
      <c r="L40" s="14" t="s">
        <v>39</v>
      </c>
      <c r="M40" s="14" t="s">
        <v>24</v>
      </c>
      <c r="N40" s="13" t="s">
        <v>115</v>
      </c>
      <c r="O40" s="13"/>
      <c r="P40" s="14" t="s">
        <v>62</v>
      </c>
      <c r="Q40" s="14" t="s">
        <v>42</v>
      </c>
      <c r="R40" s="14" t="s">
        <v>37</v>
      </c>
      <c r="S40" s="13"/>
      <c r="T40" s="12" t="str">
        <f>"555,0"</f>
        <v>555,0</v>
      </c>
      <c r="U40" s="14" t="str">
        <f>"346,5420"</f>
        <v>346,5420</v>
      </c>
      <c r="V40" s="12" t="s">
        <v>29</v>
      </c>
    </row>
    <row r="42" spans="1:22" ht="15">
      <c r="A42" s="48" t="s">
        <v>45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>
      <c r="A43" s="6" t="s">
        <v>639</v>
      </c>
      <c r="B43" s="6" t="s">
        <v>1890</v>
      </c>
      <c r="C43" s="6" t="s">
        <v>640</v>
      </c>
      <c r="D43" s="6" t="s">
        <v>641</v>
      </c>
      <c r="E43" s="6" t="str">
        <f>"0,5900"</f>
        <v>0,5900</v>
      </c>
      <c r="F43" s="6" t="s">
        <v>18</v>
      </c>
      <c r="G43" s="6" t="s">
        <v>19</v>
      </c>
      <c r="H43" s="7" t="s">
        <v>118</v>
      </c>
      <c r="I43" s="7" t="s">
        <v>61</v>
      </c>
      <c r="J43" s="8" t="s">
        <v>62</v>
      </c>
      <c r="K43" s="8"/>
      <c r="L43" s="8" t="s">
        <v>39</v>
      </c>
      <c r="M43" s="8" t="s">
        <v>288</v>
      </c>
      <c r="N43" s="8" t="s">
        <v>288</v>
      </c>
      <c r="O43" s="8"/>
      <c r="P43" s="8" t="s">
        <v>42</v>
      </c>
      <c r="Q43" s="8"/>
      <c r="R43" s="8"/>
      <c r="S43" s="8"/>
      <c r="T43" s="6" t="str">
        <f>"0,0"</f>
        <v>0,0</v>
      </c>
      <c r="U43" s="7" t="str">
        <f>"0,0000"</f>
        <v>0,0000</v>
      </c>
      <c r="V43" s="6"/>
    </row>
    <row r="45" ht="15">
      <c r="F45" s="15" t="s">
        <v>74</v>
      </c>
    </row>
    <row r="46" ht="15">
      <c r="F46" s="15" t="s">
        <v>75</v>
      </c>
    </row>
    <row r="47" ht="15">
      <c r="F47" s="15" t="s">
        <v>76</v>
      </c>
    </row>
    <row r="48" ht="15">
      <c r="F48" s="15" t="s">
        <v>77</v>
      </c>
    </row>
    <row r="49" ht="15">
      <c r="F49" s="15" t="s">
        <v>77</v>
      </c>
    </row>
    <row r="50" ht="15">
      <c r="F50" s="15" t="s">
        <v>78</v>
      </c>
    </row>
    <row r="51" ht="15">
      <c r="F51" s="15"/>
    </row>
    <row r="53" spans="1:3" ht="18">
      <c r="A53" s="16" t="s">
        <v>79</v>
      </c>
      <c r="B53" s="16"/>
      <c r="C53" s="16"/>
    </row>
    <row r="54" spans="1:3" ht="15">
      <c r="A54" s="17" t="s">
        <v>80</v>
      </c>
      <c r="B54" s="17"/>
      <c r="C54" s="17"/>
    </row>
    <row r="55" spans="1:3" ht="14.25">
      <c r="A55" s="19"/>
      <c r="B55" s="19"/>
      <c r="C55" s="20" t="s">
        <v>81</v>
      </c>
    </row>
    <row r="56" spans="1:6" ht="15">
      <c r="A56" s="21" t="s">
        <v>82</v>
      </c>
      <c r="B56" s="21"/>
      <c r="C56" s="21" t="s">
        <v>83</v>
      </c>
      <c r="D56" s="21" t="s">
        <v>84</v>
      </c>
      <c r="E56" s="21" t="s">
        <v>85</v>
      </c>
      <c r="F56" s="21" t="s">
        <v>86</v>
      </c>
    </row>
    <row r="57" spans="1:6" ht="12.75">
      <c r="A57" s="18" t="s">
        <v>596</v>
      </c>
      <c r="B57" s="18"/>
      <c r="C57" s="5" t="s">
        <v>81</v>
      </c>
      <c r="D57" s="5" t="s">
        <v>87</v>
      </c>
      <c r="E57" s="5" t="s">
        <v>642</v>
      </c>
      <c r="F57" s="22" t="s">
        <v>643</v>
      </c>
    </row>
  </sheetData>
  <sheetProtection/>
  <mergeCells count="23">
    <mergeCell ref="A42:V42"/>
    <mergeCell ref="A35:V35"/>
    <mergeCell ref="A30:V30"/>
    <mergeCell ref="A24:V24"/>
    <mergeCell ref="L3:O3"/>
    <mergeCell ref="P3:S3"/>
    <mergeCell ref="A1:V2"/>
    <mergeCell ref="B3:B4"/>
    <mergeCell ref="A20:V20"/>
    <mergeCell ref="A16:V16"/>
    <mergeCell ref="A13:V13"/>
    <mergeCell ref="A8:V8"/>
    <mergeCell ref="A5:V5"/>
    <mergeCell ref="T3:T4"/>
    <mergeCell ref="U3:U4"/>
    <mergeCell ref="V3:V4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1"/>
  <sheetViews>
    <sheetView zoomScale="70" zoomScaleNormal="70" zoomScalePageLayoutView="0" workbookViewId="0" topLeftCell="A1">
      <selection activeCell="B16" sqref="B16"/>
    </sheetView>
  </sheetViews>
  <sheetFormatPr defaultColWidth="9.00390625" defaultRowHeight="12.75"/>
  <cols>
    <col min="1" max="1" width="26.00390625" style="5" bestFit="1" customWidth="1"/>
    <col min="2" max="2" width="16.375" style="5" customWidth="1"/>
    <col min="3" max="3" width="29.75390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3.375" style="5" bestFit="1" customWidth="1"/>
    <col min="8" max="10" width="5.625" style="4" bestFit="1" customWidth="1"/>
    <col min="11" max="11" width="4.875" style="4" bestFit="1" customWidth="1"/>
    <col min="12" max="14" width="5.625" style="4" bestFit="1" customWidth="1"/>
    <col min="15" max="15" width="4.875" style="4" bestFit="1" customWidth="1"/>
    <col min="16" max="18" width="5.625" style="4" bestFit="1" customWidth="1"/>
    <col min="19" max="19" width="4.875" style="4" bestFit="1" customWidth="1"/>
    <col min="20" max="20" width="7.875" style="5" bestFit="1" customWidth="1"/>
    <col min="21" max="21" width="8.625" style="4" bestFit="1" customWidth="1"/>
    <col min="22" max="22" width="14.75390625" style="5" bestFit="1" customWidth="1"/>
    <col min="23" max="16384" width="9.125" style="4" customWidth="1"/>
  </cols>
  <sheetData>
    <row r="1" spans="1:22" s="3" customFormat="1" ht="28.5" customHeight="1">
      <c r="A1" s="38" t="s">
        <v>1647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22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</row>
    <row r="3" spans="1:22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1</v>
      </c>
      <c r="I3" s="30"/>
      <c r="J3" s="30"/>
      <c r="K3" s="30"/>
      <c r="L3" s="30" t="s">
        <v>2</v>
      </c>
      <c r="M3" s="30"/>
      <c r="N3" s="30"/>
      <c r="O3" s="30"/>
      <c r="P3" s="30" t="s">
        <v>3</v>
      </c>
      <c r="Q3" s="30"/>
      <c r="R3" s="30"/>
      <c r="S3" s="30"/>
      <c r="T3" s="30" t="s">
        <v>4</v>
      </c>
      <c r="U3" s="30" t="s">
        <v>6</v>
      </c>
      <c r="V3" s="32" t="s">
        <v>5</v>
      </c>
    </row>
    <row r="4" spans="1:22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2">
        <v>1</v>
      </c>
      <c r="M4" s="2">
        <v>2</v>
      </c>
      <c r="N4" s="2">
        <v>3</v>
      </c>
      <c r="O4" s="2" t="s">
        <v>8</v>
      </c>
      <c r="P4" s="2">
        <v>1</v>
      </c>
      <c r="Q4" s="2">
        <v>2</v>
      </c>
      <c r="R4" s="2">
        <v>3</v>
      </c>
      <c r="S4" s="2" t="s">
        <v>8</v>
      </c>
      <c r="T4" s="31"/>
      <c r="U4" s="31"/>
      <c r="V4" s="33"/>
    </row>
    <row r="5" spans="1:22" ht="15">
      <c r="A5" s="49" t="s">
        <v>92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2.75">
      <c r="A6" s="6" t="s">
        <v>93</v>
      </c>
      <c r="B6" s="6" t="s">
        <v>1888</v>
      </c>
      <c r="C6" s="6" t="s">
        <v>94</v>
      </c>
      <c r="D6" s="6" t="s">
        <v>95</v>
      </c>
      <c r="E6" s="6" t="str">
        <f>"1,2019"</f>
        <v>1,2019</v>
      </c>
      <c r="F6" s="6" t="s">
        <v>18</v>
      </c>
      <c r="G6" s="6" t="s">
        <v>19</v>
      </c>
      <c r="H6" s="7" t="s">
        <v>91</v>
      </c>
      <c r="I6" s="7" t="s">
        <v>90</v>
      </c>
      <c r="J6" s="8" t="s">
        <v>96</v>
      </c>
      <c r="K6" s="8"/>
      <c r="L6" s="7" t="s">
        <v>97</v>
      </c>
      <c r="M6" s="7" t="s">
        <v>98</v>
      </c>
      <c r="N6" s="7" t="s">
        <v>99</v>
      </c>
      <c r="O6" s="8"/>
      <c r="P6" s="7" t="s">
        <v>90</v>
      </c>
      <c r="Q6" s="7" t="s">
        <v>100</v>
      </c>
      <c r="R6" s="8" t="s">
        <v>101</v>
      </c>
      <c r="S6" s="8"/>
      <c r="T6" s="6" t="str">
        <f>"287,5"</f>
        <v>287,5</v>
      </c>
      <c r="U6" s="7" t="str">
        <f>"345,5463"</f>
        <v>345,5463</v>
      </c>
      <c r="V6" s="6" t="s">
        <v>102</v>
      </c>
    </row>
    <row r="8" spans="1:22" ht="15">
      <c r="A8" s="48" t="s">
        <v>103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ht="12.75">
      <c r="A9" s="6" t="s">
        <v>104</v>
      </c>
      <c r="B9" s="6" t="s">
        <v>1887</v>
      </c>
      <c r="C9" s="6" t="s">
        <v>105</v>
      </c>
      <c r="D9" s="6" t="s">
        <v>106</v>
      </c>
      <c r="E9" s="6" t="str">
        <f>"1,1266"</f>
        <v>1,1266</v>
      </c>
      <c r="F9" s="6" t="s">
        <v>34</v>
      </c>
      <c r="G9" s="6" t="s">
        <v>107</v>
      </c>
      <c r="H9" s="8" t="s">
        <v>91</v>
      </c>
      <c r="I9" s="7" t="s">
        <v>91</v>
      </c>
      <c r="J9" s="7" t="s">
        <v>90</v>
      </c>
      <c r="K9" s="8"/>
      <c r="L9" s="7" t="s">
        <v>108</v>
      </c>
      <c r="M9" s="7" t="s">
        <v>97</v>
      </c>
      <c r="N9" s="8" t="s">
        <v>98</v>
      </c>
      <c r="O9" s="8"/>
      <c r="P9" s="7" t="s">
        <v>90</v>
      </c>
      <c r="Q9" s="7" t="s">
        <v>100</v>
      </c>
      <c r="R9" s="8" t="s">
        <v>109</v>
      </c>
      <c r="S9" s="8"/>
      <c r="T9" s="6" t="str">
        <f>"280,0"</f>
        <v>280,0</v>
      </c>
      <c r="U9" s="7" t="str">
        <f>"315,4480"</f>
        <v>315,4480</v>
      </c>
      <c r="V9" s="29" t="s">
        <v>1648</v>
      </c>
    </row>
    <row r="11" spans="1:22" ht="15">
      <c r="A11" s="48" t="s">
        <v>110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12.75">
      <c r="A12" s="9" t="s">
        <v>111</v>
      </c>
      <c r="B12" s="9" t="s">
        <v>1891</v>
      </c>
      <c r="C12" s="9" t="s">
        <v>112</v>
      </c>
      <c r="D12" s="9" t="s">
        <v>113</v>
      </c>
      <c r="E12" s="9" t="str">
        <f>"1,0351"</f>
        <v>1,0351</v>
      </c>
      <c r="F12" s="9" t="s">
        <v>18</v>
      </c>
      <c r="G12" s="9" t="s">
        <v>19</v>
      </c>
      <c r="H12" s="11" t="s">
        <v>39</v>
      </c>
      <c r="I12" s="11" t="s">
        <v>114</v>
      </c>
      <c r="J12" s="10" t="s">
        <v>115</v>
      </c>
      <c r="K12" s="10"/>
      <c r="L12" s="11" t="s">
        <v>116</v>
      </c>
      <c r="M12" s="11" t="s">
        <v>117</v>
      </c>
      <c r="N12" s="11" t="s">
        <v>87</v>
      </c>
      <c r="O12" s="10"/>
      <c r="P12" s="10" t="s">
        <v>24</v>
      </c>
      <c r="Q12" s="11" t="s">
        <v>24</v>
      </c>
      <c r="R12" s="11" t="s">
        <v>118</v>
      </c>
      <c r="S12" s="10"/>
      <c r="T12" s="9" t="str">
        <f>"402,5"</f>
        <v>402,5</v>
      </c>
      <c r="U12" s="11" t="str">
        <f>"416,6277"</f>
        <v>416,6277</v>
      </c>
      <c r="V12" s="9" t="s">
        <v>119</v>
      </c>
    </row>
    <row r="13" spans="1:22" ht="12.75">
      <c r="A13" s="12" t="s">
        <v>120</v>
      </c>
      <c r="B13" s="12" t="s">
        <v>1892</v>
      </c>
      <c r="C13" s="12" t="s">
        <v>121</v>
      </c>
      <c r="D13" s="12" t="s">
        <v>122</v>
      </c>
      <c r="E13" s="12" t="str">
        <f>"1,0625"</f>
        <v>1,0625</v>
      </c>
      <c r="F13" s="12" t="s">
        <v>18</v>
      </c>
      <c r="G13" s="12" t="s">
        <v>19</v>
      </c>
      <c r="H13" s="13" t="s">
        <v>123</v>
      </c>
      <c r="I13" s="14" t="s">
        <v>39</v>
      </c>
      <c r="J13" s="13" t="s">
        <v>23</v>
      </c>
      <c r="K13" s="13"/>
      <c r="L13" s="14" t="s">
        <v>124</v>
      </c>
      <c r="M13" s="14" t="s">
        <v>116</v>
      </c>
      <c r="N13" s="14" t="s">
        <v>125</v>
      </c>
      <c r="O13" s="13"/>
      <c r="P13" s="14" t="s">
        <v>109</v>
      </c>
      <c r="Q13" s="14" t="s">
        <v>126</v>
      </c>
      <c r="R13" s="14" t="s">
        <v>39</v>
      </c>
      <c r="S13" s="13"/>
      <c r="T13" s="12" t="str">
        <f>"355,0"</f>
        <v>355,0</v>
      </c>
      <c r="U13" s="14" t="str">
        <f>"377,1875"</f>
        <v>377,1875</v>
      </c>
      <c r="V13" s="12" t="s">
        <v>127</v>
      </c>
    </row>
    <row r="15" spans="1:22" ht="15">
      <c r="A15" s="48" t="s">
        <v>128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12.75">
      <c r="A16" s="6" t="s">
        <v>129</v>
      </c>
      <c r="B16" s="6" t="s">
        <v>1890</v>
      </c>
      <c r="C16" s="6" t="s">
        <v>130</v>
      </c>
      <c r="D16" s="6" t="s">
        <v>131</v>
      </c>
      <c r="E16" s="6" t="str">
        <f>"0,9621"</f>
        <v>0,9621</v>
      </c>
      <c r="F16" s="6" t="s">
        <v>34</v>
      </c>
      <c r="G16" s="6" t="s">
        <v>132</v>
      </c>
      <c r="H16" s="8" t="s">
        <v>133</v>
      </c>
      <c r="I16" s="8" t="s">
        <v>91</v>
      </c>
      <c r="J16" s="8"/>
      <c r="K16" s="8"/>
      <c r="L16" s="8" t="s">
        <v>99</v>
      </c>
      <c r="M16" s="8"/>
      <c r="N16" s="8"/>
      <c r="O16" s="8"/>
      <c r="P16" s="8" t="s">
        <v>134</v>
      </c>
      <c r="Q16" s="8"/>
      <c r="R16" s="8"/>
      <c r="S16" s="8"/>
      <c r="T16" s="6" t="str">
        <f>"0,0"</f>
        <v>0,0</v>
      </c>
      <c r="U16" s="7" t="str">
        <f>"0,0000"</f>
        <v>0,0000</v>
      </c>
      <c r="V16" s="6" t="s">
        <v>135</v>
      </c>
    </row>
    <row r="18" spans="1:22" ht="15">
      <c r="A18" s="48" t="s">
        <v>13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ht="12.75">
      <c r="A19" s="9" t="s">
        <v>136</v>
      </c>
      <c r="B19" s="9" t="s">
        <v>1887</v>
      </c>
      <c r="C19" s="9" t="s">
        <v>137</v>
      </c>
      <c r="D19" s="9" t="s">
        <v>138</v>
      </c>
      <c r="E19" s="9" t="str">
        <f>"0,7036"</f>
        <v>0,7036</v>
      </c>
      <c r="F19" s="9" t="s">
        <v>18</v>
      </c>
      <c r="G19" s="9" t="s">
        <v>19</v>
      </c>
      <c r="H19" s="11" t="s">
        <v>115</v>
      </c>
      <c r="I19" s="11" t="s">
        <v>61</v>
      </c>
      <c r="J19" s="10" t="s">
        <v>62</v>
      </c>
      <c r="K19" s="10"/>
      <c r="L19" s="11" t="s">
        <v>133</v>
      </c>
      <c r="M19" s="11" t="s">
        <v>139</v>
      </c>
      <c r="N19" s="11" t="s">
        <v>90</v>
      </c>
      <c r="O19" s="10"/>
      <c r="P19" s="11" t="s">
        <v>114</v>
      </c>
      <c r="Q19" s="11" t="s">
        <v>115</v>
      </c>
      <c r="R19" s="10" t="s">
        <v>118</v>
      </c>
      <c r="S19" s="10"/>
      <c r="T19" s="9" t="str">
        <f>"450,0"</f>
        <v>450,0</v>
      </c>
      <c r="U19" s="11" t="str">
        <f>"316,6200"</f>
        <v>316,6200</v>
      </c>
      <c r="V19" s="9" t="s">
        <v>119</v>
      </c>
    </row>
    <row r="20" spans="1:22" ht="12.75">
      <c r="A20" s="23" t="s">
        <v>140</v>
      </c>
      <c r="B20" s="23" t="s">
        <v>1892</v>
      </c>
      <c r="C20" s="23" t="s">
        <v>141</v>
      </c>
      <c r="D20" s="23" t="s">
        <v>142</v>
      </c>
      <c r="E20" s="23" t="str">
        <f>"0,6749"</f>
        <v>0,6749</v>
      </c>
      <c r="F20" s="23" t="s">
        <v>18</v>
      </c>
      <c r="G20" s="23" t="s">
        <v>19</v>
      </c>
      <c r="H20" s="24" t="s">
        <v>61</v>
      </c>
      <c r="I20" s="24" t="s">
        <v>62</v>
      </c>
      <c r="J20" s="24" t="s">
        <v>143</v>
      </c>
      <c r="K20" s="25"/>
      <c r="L20" s="24" t="s">
        <v>144</v>
      </c>
      <c r="M20" s="25" t="s">
        <v>101</v>
      </c>
      <c r="N20" s="25" t="s">
        <v>101</v>
      </c>
      <c r="O20" s="25"/>
      <c r="P20" s="24" t="s">
        <v>21</v>
      </c>
      <c r="Q20" s="24" t="s">
        <v>60</v>
      </c>
      <c r="R20" s="24" t="s">
        <v>26</v>
      </c>
      <c r="S20" s="25"/>
      <c r="T20" s="23" t="str">
        <f>"555,0"</f>
        <v>555,0</v>
      </c>
      <c r="U20" s="24" t="str">
        <f>"374,5695"</f>
        <v>374,5695</v>
      </c>
      <c r="V20" s="23"/>
    </row>
    <row r="21" spans="1:22" ht="12.75">
      <c r="A21" s="23" t="s">
        <v>145</v>
      </c>
      <c r="B21" s="23" t="s">
        <v>1891</v>
      </c>
      <c r="C21" s="23" t="s">
        <v>146</v>
      </c>
      <c r="D21" s="23" t="s">
        <v>147</v>
      </c>
      <c r="E21" s="23" t="str">
        <f>"0,6739"</f>
        <v>0,6739</v>
      </c>
      <c r="F21" s="23" t="s">
        <v>18</v>
      </c>
      <c r="G21" s="23" t="s">
        <v>19</v>
      </c>
      <c r="H21" s="24" t="s">
        <v>42</v>
      </c>
      <c r="I21" s="24" t="s">
        <v>21</v>
      </c>
      <c r="J21" s="25"/>
      <c r="K21" s="25"/>
      <c r="L21" s="24" t="s">
        <v>109</v>
      </c>
      <c r="M21" s="24" t="s">
        <v>126</v>
      </c>
      <c r="N21" s="25" t="s">
        <v>39</v>
      </c>
      <c r="O21" s="25"/>
      <c r="P21" s="24" t="s">
        <v>20</v>
      </c>
      <c r="Q21" s="24" t="s">
        <v>37</v>
      </c>
      <c r="R21" s="24" t="s">
        <v>60</v>
      </c>
      <c r="S21" s="25"/>
      <c r="T21" s="23" t="str">
        <f>"587,5"</f>
        <v>587,5</v>
      </c>
      <c r="U21" s="24" t="str">
        <f>"440,6548"</f>
        <v>440,6548</v>
      </c>
      <c r="V21" s="23" t="s">
        <v>148</v>
      </c>
    </row>
    <row r="22" spans="1:22" ht="12.75">
      <c r="A22" s="12" t="s">
        <v>149</v>
      </c>
      <c r="B22" s="12" t="s">
        <v>1891</v>
      </c>
      <c r="C22" s="12" t="s">
        <v>150</v>
      </c>
      <c r="D22" s="12" t="s">
        <v>17</v>
      </c>
      <c r="E22" s="12" t="str">
        <f>"0,6699"</f>
        <v>0,6699</v>
      </c>
      <c r="F22" s="12" t="s">
        <v>18</v>
      </c>
      <c r="G22" s="12" t="s">
        <v>19</v>
      </c>
      <c r="H22" s="14" t="s">
        <v>151</v>
      </c>
      <c r="I22" s="14" t="s">
        <v>152</v>
      </c>
      <c r="J22" s="14" t="s">
        <v>62</v>
      </c>
      <c r="K22" s="13"/>
      <c r="L22" s="14" t="s">
        <v>123</v>
      </c>
      <c r="M22" s="14" t="s">
        <v>39</v>
      </c>
      <c r="N22" s="14" t="s">
        <v>40</v>
      </c>
      <c r="O22" s="13"/>
      <c r="P22" s="14" t="s">
        <v>62</v>
      </c>
      <c r="Q22" s="14" t="s">
        <v>64</v>
      </c>
      <c r="R22" s="14" t="s">
        <v>153</v>
      </c>
      <c r="S22" s="13"/>
      <c r="T22" s="12" t="str">
        <f>"550,0"</f>
        <v>550,0</v>
      </c>
      <c r="U22" s="14" t="str">
        <f>"451,3451"</f>
        <v>451,3451</v>
      </c>
      <c r="V22" s="12" t="s">
        <v>154</v>
      </c>
    </row>
    <row r="24" spans="1:22" ht="15">
      <c r="A24" s="48" t="s">
        <v>155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12.75">
      <c r="A25" s="9" t="s">
        <v>156</v>
      </c>
      <c r="B25" s="9" t="s">
        <v>1891</v>
      </c>
      <c r="C25" s="9" t="s">
        <v>157</v>
      </c>
      <c r="D25" s="9" t="s">
        <v>158</v>
      </c>
      <c r="E25" s="9" t="str">
        <f>"0,6417"</f>
        <v>0,6417</v>
      </c>
      <c r="F25" s="9" t="s">
        <v>34</v>
      </c>
      <c r="G25" s="9" t="s">
        <v>159</v>
      </c>
      <c r="H25" s="11" t="s">
        <v>160</v>
      </c>
      <c r="I25" s="11" t="s">
        <v>161</v>
      </c>
      <c r="J25" s="10" t="s">
        <v>162</v>
      </c>
      <c r="K25" s="10"/>
      <c r="L25" s="11" t="s">
        <v>115</v>
      </c>
      <c r="M25" s="10" t="s">
        <v>118</v>
      </c>
      <c r="N25" s="10" t="s">
        <v>118</v>
      </c>
      <c r="O25" s="10"/>
      <c r="P25" s="11" t="s">
        <v>22</v>
      </c>
      <c r="Q25" s="11" t="s">
        <v>72</v>
      </c>
      <c r="R25" s="11" t="s">
        <v>160</v>
      </c>
      <c r="S25" s="10"/>
      <c r="T25" s="9" t="str">
        <f>"715,0"</f>
        <v>715,0</v>
      </c>
      <c r="U25" s="11" t="str">
        <f>"458,8155"</f>
        <v>458,8155</v>
      </c>
      <c r="V25" s="9" t="s">
        <v>163</v>
      </c>
    </row>
    <row r="26" spans="1:22" ht="12.75">
      <c r="A26" s="23" t="s">
        <v>164</v>
      </c>
      <c r="B26" s="23" t="s">
        <v>1892</v>
      </c>
      <c r="C26" s="23" t="s">
        <v>165</v>
      </c>
      <c r="D26" s="23" t="s">
        <v>166</v>
      </c>
      <c r="E26" s="23" t="str">
        <f>"0,6395"</f>
        <v>0,6395</v>
      </c>
      <c r="F26" s="23" t="s">
        <v>34</v>
      </c>
      <c r="G26" s="23" t="s">
        <v>167</v>
      </c>
      <c r="H26" s="24" t="s">
        <v>61</v>
      </c>
      <c r="I26" s="25" t="s">
        <v>64</v>
      </c>
      <c r="J26" s="25" t="s">
        <v>64</v>
      </c>
      <c r="K26" s="25"/>
      <c r="L26" s="24" t="s">
        <v>39</v>
      </c>
      <c r="M26" s="24" t="s">
        <v>114</v>
      </c>
      <c r="N26" s="25"/>
      <c r="O26" s="25"/>
      <c r="P26" s="24" t="s">
        <v>62</v>
      </c>
      <c r="Q26" s="24" t="s">
        <v>168</v>
      </c>
      <c r="R26" s="25"/>
      <c r="S26" s="25"/>
      <c r="T26" s="23" t="str">
        <f>"552,5"</f>
        <v>552,5</v>
      </c>
      <c r="U26" s="24" t="str">
        <f>"364,2768"</f>
        <v>364,2768</v>
      </c>
      <c r="V26" s="23" t="s">
        <v>29</v>
      </c>
    </row>
    <row r="27" spans="1:22" ht="12.75">
      <c r="A27" s="12" t="s">
        <v>169</v>
      </c>
      <c r="B27" s="12" t="s">
        <v>1892</v>
      </c>
      <c r="C27" s="12" t="s">
        <v>170</v>
      </c>
      <c r="D27" s="12" t="s">
        <v>171</v>
      </c>
      <c r="E27" s="12" t="str">
        <f>"0,6410"</f>
        <v>0,6410</v>
      </c>
      <c r="F27" s="12" t="s">
        <v>18</v>
      </c>
      <c r="G27" s="12" t="s">
        <v>19</v>
      </c>
      <c r="H27" s="14" t="s">
        <v>115</v>
      </c>
      <c r="I27" s="14" t="s">
        <v>61</v>
      </c>
      <c r="J27" s="14" t="s">
        <v>64</v>
      </c>
      <c r="K27" s="13"/>
      <c r="L27" s="14" t="s">
        <v>123</v>
      </c>
      <c r="M27" s="14" t="s">
        <v>23</v>
      </c>
      <c r="N27" s="13" t="s">
        <v>24</v>
      </c>
      <c r="O27" s="13"/>
      <c r="P27" s="14" t="s">
        <v>64</v>
      </c>
      <c r="Q27" s="14" t="s">
        <v>20</v>
      </c>
      <c r="R27" s="14" t="s">
        <v>37</v>
      </c>
      <c r="S27" s="13"/>
      <c r="T27" s="12" t="str">
        <f>"565,0"</f>
        <v>565,0</v>
      </c>
      <c r="U27" s="14" t="str">
        <f>"391,8625"</f>
        <v>391,8625</v>
      </c>
      <c r="V27" s="12" t="s">
        <v>119</v>
      </c>
    </row>
    <row r="29" spans="1:22" ht="15">
      <c r="A29" s="48" t="s">
        <v>30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ht="12.75">
      <c r="A30" s="9" t="s">
        <v>172</v>
      </c>
      <c r="B30" s="9" t="s">
        <v>1891</v>
      </c>
      <c r="C30" s="9" t="s">
        <v>173</v>
      </c>
      <c r="D30" s="9" t="s">
        <v>174</v>
      </c>
      <c r="E30" s="9" t="str">
        <f>"0,6111"</f>
        <v>0,6111</v>
      </c>
      <c r="F30" s="9" t="s">
        <v>18</v>
      </c>
      <c r="G30" s="9" t="s">
        <v>19</v>
      </c>
      <c r="H30" s="10" t="s">
        <v>175</v>
      </c>
      <c r="I30" s="10" t="s">
        <v>175</v>
      </c>
      <c r="J30" s="11" t="s">
        <v>176</v>
      </c>
      <c r="K30" s="10"/>
      <c r="L30" s="10" t="s">
        <v>61</v>
      </c>
      <c r="M30" s="11" t="s">
        <v>61</v>
      </c>
      <c r="N30" s="10" t="s">
        <v>177</v>
      </c>
      <c r="O30" s="10"/>
      <c r="P30" s="11" t="s">
        <v>53</v>
      </c>
      <c r="Q30" s="10" t="s">
        <v>178</v>
      </c>
      <c r="R30" s="10" t="s">
        <v>178</v>
      </c>
      <c r="S30" s="10"/>
      <c r="T30" s="9" t="str">
        <f>"745,0"</f>
        <v>745,0</v>
      </c>
      <c r="U30" s="11" t="str">
        <f>"455,2695"</f>
        <v>455,2695</v>
      </c>
      <c r="V30" s="9" t="s">
        <v>179</v>
      </c>
    </row>
    <row r="31" spans="1:22" ht="12.75">
      <c r="A31" s="23" t="s">
        <v>180</v>
      </c>
      <c r="B31" s="23" t="s">
        <v>1892</v>
      </c>
      <c r="C31" s="23" t="s">
        <v>181</v>
      </c>
      <c r="D31" s="23" t="s">
        <v>182</v>
      </c>
      <c r="E31" s="23" t="str">
        <f>"0,6220"</f>
        <v>0,6220</v>
      </c>
      <c r="F31" s="23" t="s">
        <v>34</v>
      </c>
      <c r="G31" s="23" t="s">
        <v>183</v>
      </c>
      <c r="H31" s="24" t="s">
        <v>26</v>
      </c>
      <c r="I31" s="24" t="s">
        <v>70</v>
      </c>
      <c r="J31" s="24" t="s">
        <v>28</v>
      </c>
      <c r="K31" s="25"/>
      <c r="L31" s="24" t="s">
        <v>39</v>
      </c>
      <c r="M31" s="24" t="s">
        <v>40</v>
      </c>
      <c r="N31" s="25" t="s">
        <v>41</v>
      </c>
      <c r="O31" s="25"/>
      <c r="P31" s="24" t="s">
        <v>27</v>
      </c>
      <c r="Q31" s="24" t="s">
        <v>72</v>
      </c>
      <c r="R31" s="24" t="s">
        <v>160</v>
      </c>
      <c r="S31" s="25"/>
      <c r="T31" s="23" t="str">
        <f>"672,5"</f>
        <v>672,5</v>
      </c>
      <c r="U31" s="24" t="str">
        <f>"418,2950"</f>
        <v>418,2950</v>
      </c>
      <c r="V31" s="23" t="s">
        <v>184</v>
      </c>
    </row>
    <row r="32" spans="1:22" ht="12.75">
      <c r="A32" s="12" t="s">
        <v>185</v>
      </c>
      <c r="B32" s="12" t="s">
        <v>1890</v>
      </c>
      <c r="C32" s="12" t="s">
        <v>186</v>
      </c>
      <c r="D32" s="12" t="s">
        <v>187</v>
      </c>
      <c r="E32" s="12" t="str">
        <f>"0,6172"</f>
        <v>0,6172</v>
      </c>
      <c r="F32" s="12" t="s">
        <v>18</v>
      </c>
      <c r="G32" s="12" t="s">
        <v>19</v>
      </c>
      <c r="H32" s="13" t="s">
        <v>22</v>
      </c>
      <c r="I32" s="14" t="s">
        <v>22</v>
      </c>
      <c r="J32" s="14" t="s">
        <v>72</v>
      </c>
      <c r="K32" s="13"/>
      <c r="L32" s="14" t="s">
        <v>188</v>
      </c>
      <c r="M32" s="13" t="s">
        <v>40</v>
      </c>
      <c r="N32" s="14" t="s">
        <v>40</v>
      </c>
      <c r="O32" s="13"/>
      <c r="P32" s="13" t="s">
        <v>22</v>
      </c>
      <c r="Q32" s="13" t="s">
        <v>27</v>
      </c>
      <c r="R32" s="13" t="s">
        <v>27</v>
      </c>
      <c r="S32" s="13"/>
      <c r="T32" s="12" t="str">
        <f>"0,0"</f>
        <v>0,0</v>
      </c>
      <c r="U32" s="14" t="str">
        <f>"0,0000"</f>
        <v>0,0000</v>
      </c>
      <c r="V32" s="12" t="s">
        <v>189</v>
      </c>
    </row>
    <row r="34" spans="1:22" ht="15">
      <c r="A34" s="48" t="s">
        <v>45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12.75">
      <c r="A35" s="9" t="s">
        <v>191</v>
      </c>
      <c r="B35" s="9" t="s">
        <v>1895</v>
      </c>
      <c r="C35" s="9" t="s">
        <v>192</v>
      </c>
      <c r="D35" s="9" t="s">
        <v>193</v>
      </c>
      <c r="E35" s="9" t="str">
        <f>"0,5910"</f>
        <v>0,5910</v>
      </c>
      <c r="F35" s="9" t="s">
        <v>18</v>
      </c>
      <c r="G35" s="9" t="s">
        <v>18</v>
      </c>
      <c r="H35" s="11" t="s">
        <v>194</v>
      </c>
      <c r="I35" s="11" t="s">
        <v>195</v>
      </c>
      <c r="J35" s="11" t="s">
        <v>196</v>
      </c>
      <c r="K35" s="10"/>
      <c r="L35" s="11" t="s">
        <v>115</v>
      </c>
      <c r="M35" s="11" t="s">
        <v>197</v>
      </c>
      <c r="N35" s="10" t="s">
        <v>198</v>
      </c>
      <c r="O35" s="10"/>
      <c r="P35" s="11" t="s">
        <v>194</v>
      </c>
      <c r="Q35" s="11" t="s">
        <v>199</v>
      </c>
      <c r="R35" s="10"/>
      <c r="S35" s="10"/>
      <c r="T35" s="9" t="str">
        <f>"812,5"</f>
        <v>812,5</v>
      </c>
      <c r="U35" s="11" t="str">
        <f>"480,1875"</f>
        <v>480,1875</v>
      </c>
      <c r="V35" s="9" t="s">
        <v>200</v>
      </c>
    </row>
    <row r="36" spans="1:22" ht="12.75">
      <c r="A36" s="23" t="s">
        <v>201</v>
      </c>
      <c r="B36" s="23" t="s">
        <v>1891</v>
      </c>
      <c r="C36" s="23" t="s">
        <v>202</v>
      </c>
      <c r="D36" s="23" t="s">
        <v>203</v>
      </c>
      <c r="E36" s="23" t="str">
        <f>"0,5921"</f>
        <v>0,5921</v>
      </c>
      <c r="F36" s="23" t="s">
        <v>18</v>
      </c>
      <c r="G36" s="23" t="s">
        <v>19</v>
      </c>
      <c r="H36" s="24" t="s">
        <v>53</v>
      </c>
      <c r="I36" s="25" t="s">
        <v>176</v>
      </c>
      <c r="J36" s="24" t="s">
        <v>176</v>
      </c>
      <c r="K36" s="25"/>
      <c r="L36" s="24" t="s">
        <v>24</v>
      </c>
      <c r="M36" s="24" t="s">
        <v>25</v>
      </c>
      <c r="N36" s="25" t="s">
        <v>197</v>
      </c>
      <c r="O36" s="25"/>
      <c r="P36" s="24" t="s">
        <v>52</v>
      </c>
      <c r="Q36" s="25" t="s">
        <v>53</v>
      </c>
      <c r="R36" s="24" t="s">
        <v>53</v>
      </c>
      <c r="S36" s="25"/>
      <c r="T36" s="23" t="str">
        <f>"730,0"</f>
        <v>730,0</v>
      </c>
      <c r="U36" s="24" t="str">
        <f>"432,2330"</f>
        <v>432,2330</v>
      </c>
      <c r="V36" s="23"/>
    </row>
    <row r="37" spans="1:22" ht="12.75">
      <c r="A37" s="12" t="s">
        <v>204</v>
      </c>
      <c r="B37" s="12" t="s">
        <v>1888</v>
      </c>
      <c r="C37" s="12" t="s">
        <v>205</v>
      </c>
      <c r="D37" s="12" t="s">
        <v>48</v>
      </c>
      <c r="E37" s="12" t="str">
        <f>"0,5960"</f>
        <v>0,5960</v>
      </c>
      <c r="F37" s="12" t="s">
        <v>18</v>
      </c>
      <c r="G37" s="12" t="s">
        <v>19</v>
      </c>
      <c r="H37" s="14" t="s">
        <v>60</v>
      </c>
      <c r="I37" s="14" t="s">
        <v>26</v>
      </c>
      <c r="J37" s="14" t="s">
        <v>27</v>
      </c>
      <c r="K37" s="13"/>
      <c r="L37" s="14" t="s">
        <v>39</v>
      </c>
      <c r="M37" s="13" t="s">
        <v>114</v>
      </c>
      <c r="N37" s="13"/>
      <c r="O37" s="13"/>
      <c r="P37" s="14" t="s">
        <v>60</v>
      </c>
      <c r="Q37" s="14" t="s">
        <v>22</v>
      </c>
      <c r="R37" s="13" t="s">
        <v>49</v>
      </c>
      <c r="S37" s="13"/>
      <c r="T37" s="12" t="str">
        <f>"625,0"</f>
        <v>625,0</v>
      </c>
      <c r="U37" s="14" t="str">
        <f>"372,5000"</f>
        <v>372,5000</v>
      </c>
      <c r="V37" s="12"/>
    </row>
    <row r="39" spans="1:22" ht="15">
      <c r="A39" s="48" t="s">
        <v>206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ht="12.75">
      <c r="A40" s="9" t="s">
        <v>208</v>
      </c>
      <c r="B40" s="9" t="s">
        <v>1895</v>
      </c>
      <c r="C40" s="9" t="s">
        <v>209</v>
      </c>
      <c r="D40" s="9" t="s">
        <v>210</v>
      </c>
      <c r="E40" s="9" t="str">
        <f>"0,5770"</f>
        <v>0,5770</v>
      </c>
      <c r="F40" s="9" t="s">
        <v>34</v>
      </c>
      <c r="G40" s="9" t="s">
        <v>211</v>
      </c>
      <c r="H40" s="11" t="s">
        <v>176</v>
      </c>
      <c r="I40" s="11" t="s">
        <v>199</v>
      </c>
      <c r="J40" s="11" t="s">
        <v>196</v>
      </c>
      <c r="K40" s="10"/>
      <c r="L40" s="11" t="s">
        <v>61</v>
      </c>
      <c r="M40" s="11" t="s">
        <v>62</v>
      </c>
      <c r="N40" s="11" t="s">
        <v>64</v>
      </c>
      <c r="O40" s="10"/>
      <c r="P40" s="11" t="s">
        <v>53</v>
      </c>
      <c r="Q40" s="11" t="s">
        <v>161</v>
      </c>
      <c r="R40" s="11" t="s">
        <v>162</v>
      </c>
      <c r="S40" s="10"/>
      <c r="T40" s="9" t="str">
        <f>"825,0"</f>
        <v>825,0</v>
      </c>
      <c r="U40" s="11" t="str">
        <f>"476,0250"</f>
        <v>476,0250</v>
      </c>
      <c r="V40" s="9" t="s">
        <v>212</v>
      </c>
    </row>
    <row r="41" spans="1:22" ht="12.75">
      <c r="A41" s="23" t="s">
        <v>208</v>
      </c>
      <c r="B41" s="23" t="s">
        <v>1895</v>
      </c>
      <c r="C41" s="23" t="s">
        <v>213</v>
      </c>
      <c r="D41" s="23" t="s">
        <v>210</v>
      </c>
      <c r="E41" s="23" t="str">
        <f>"0,5770"</f>
        <v>0,5770</v>
      </c>
      <c r="F41" s="23" t="s">
        <v>34</v>
      </c>
      <c r="G41" s="23" t="s">
        <v>211</v>
      </c>
      <c r="H41" s="24" t="s">
        <v>176</v>
      </c>
      <c r="I41" s="24" t="s">
        <v>199</v>
      </c>
      <c r="J41" s="24" t="s">
        <v>196</v>
      </c>
      <c r="K41" s="25"/>
      <c r="L41" s="24" t="s">
        <v>61</v>
      </c>
      <c r="M41" s="24" t="s">
        <v>62</v>
      </c>
      <c r="N41" s="24" t="s">
        <v>64</v>
      </c>
      <c r="O41" s="25"/>
      <c r="P41" s="24" t="s">
        <v>53</v>
      </c>
      <c r="Q41" s="24" t="s">
        <v>161</v>
      </c>
      <c r="R41" s="24" t="s">
        <v>162</v>
      </c>
      <c r="S41" s="25"/>
      <c r="T41" s="23" t="str">
        <f>"825,0"</f>
        <v>825,0</v>
      </c>
      <c r="U41" s="24" t="str">
        <f>"476,0250"</f>
        <v>476,0250</v>
      </c>
      <c r="V41" s="23" t="s">
        <v>212</v>
      </c>
    </row>
    <row r="42" spans="1:22" ht="12.75">
      <c r="A42" s="23" t="s">
        <v>214</v>
      </c>
      <c r="B42" s="23" t="s">
        <v>1892</v>
      </c>
      <c r="C42" s="23" t="s">
        <v>215</v>
      </c>
      <c r="D42" s="23" t="s">
        <v>216</v>
      </c>
      <c r="E42" s="23" t="str">
        <f>"0,5824"</f>
        <v>0,5824</v>
      </c>
      <c r="F42" s="23" t="s">
        <v>18</v>
      </c>
      <c r="G42" s="23" t="s">
        <v>19</v>
      </c>
      <c r="H42" s="24" t="s">
        <v>37</v>
      </c>
      <c r="I42" s="24" t="s">
        <v>60</v>
      </c>
      <c r="J42" s="25" t="s">
        <v>22</v>
      </c>
      <c r="K42" s="25"/>
      <c r="L42" s="24" t="s">
        <v>61</v>
      </c>
      <c r="M42" s="24" t="s">
        <v>152</v>
      </c>
      <c r="N42" s="25" t="s">
        <v>62</v>
      </c>
      <c r="O42" s="25"/>
      <c r="P42" s="24" t="s">
        <v>22</v>
      </c>
      <c r="Q42" s="24" t="s">
        <v>72</v>
      </c>
      <c r="R42" s="25"/>
      <c r="S42" s="25"/>
      <c r="T42" s="23" t="str">
        <f>"675,0"</f>
        <v>675,0</v>
      </c>
      <c r="U42" s="24" t="str">
        <f>"410,0242"</f>
        <v>410,0242</v>
      </c>
      <c r="V42" s="23" t="s">
        <v>29</v>
      </c>
    </row>
    <row r="43" spans="1:22" ht="12.75">
      <c r="A43" s="12" t="s">
        <v>217</v>
      </c>
      <c r="B43" s="12" t="s">
        <v>1892</v>
      </c>
      <c r="C43" s="12" t="s">
        <v>218</v>
      </c>
      <c r="D43" s="12" t="s">
        <v>219</v>
      </c>
      <c r="E43" s="12" t="str">
        <f>"0,5849"</f>
        <v>0,5849</v>
      </c>
      <c r="F43" s="12" t="s">
        <v>34</v>
      </c>
      <c r="G43" s="12" t="s">
        <v>220</v>
      </c>
      <c r="H43" s="14" t="s">
        <v>64</v>
      </c>
      <c r="I43" s="14" t="s">
        <v>42</v>
      </c>
      <c r="J43" s="13" t="s">
        <v>60</v>
      </c>
      <c r="K43" s="13"/>
      <c r="L43" s="14" t="s">
        <v>91</v>
      </c>
      <c r="M43" s="14" t="s">
        <v>221</v>
      </c>
      <c r="N43" s="13" t="s">
        <v>222</v>
      </c>
      <c r="O43" s="13"/>
      <c r="P43" s="14" t="s">
        <v>64</v>
      </c>
      <c r="Q43" s="14" t="s">
        <v>42</v>
      </c>
      <c r="R43" s="14" t="s">
        <v>60</v>
      </c>
      <c r="S43" s="13"/>
      <c r="T43" s="12" t="str">
        <f>"552,5"</f>
        <v>552,5</v>
      </c>
      <c r="U43" s="14" t="str">
        <f>"433,0307"</f>
        <v>433,0307</v>
      </c>
      <c r="V43" s="12"/>
    </row>
    <row r="45" ht="15">
      <c r="F45" s="15" t="s">
        <v>74</v>
      </c>
    </row>
    <row r="46" ht="15">
      <c r="F46" s="15" t="s">
        <v>75</v>
      </c>
    </row>
    <row r="47" ht="15">
      <c r="F47" s="15" t="s">
        <v>76</v>
      </c>
    </row>
    <row r="48" ht="15">
      <c r="F48" s="15" t="s">
        <v>77</v>
      </c>
    </row>
    <row r="49" ht="15">
      <c r="F49" s="15" t="s">
        <v>77</v>
      </c>
    </row>
    <row r="50" ht="15">
      <c r="F50" s="15" t="s">
        <v>78</v>
      </c>
    </row>
    <row r="51" ht="15">
      <c r="F51" s="15"/>
    </row>
    <row r="53" spans="1:3" ht="18">
      <c r="A53" s="16" t="s">
        <v>79</v>
      </c>
      <c r="B53" s="16"/>
      <c r="C53" s="16"/>
    </row>
    <row r="54" spans="1:3" ht="15">
      <c r="A54" s="17" t="s">
        <v>80</v>
      </c>
      <c r="B54" s="17"/>
      <c r="C54" s="17"/>
    </row>
    <row r="55" spans="1:3" ht="14.25">
      <c r="A55" s="19"/>
      <c r="B55" s="19"/>
      <c r="C55" s="20" t="s">
        <v>81</v>
      </c>
    </row>
    <row r="56" spans="1:6" ht="15">
      <c r="A56" s="21" t="s">
        <v>82</v>
      </c>
      <c r="B56" s="21"/>
      <c r="C56" s="21" t="s">
        <v>83</v>
      </c>
      <c r="D56" s="21" t="s">
        <v>84</v>
      </c>
      <c r="E56" s="21" t="s">
        <v>85</v>
      </c>
      <c r="F56" s="21" t="s">
        <v>86</v>
      </c>
    </row>
    <row r="57" spans="1:6" ht="12.75">
      <c r="A57" s="18" t="s">
        <v>190</v>
      </c>
      <c r="B57" s="18"/>
      <c r="C57" s="5" t="s">
        <v>81</v>
      </c>
      <c r="D57" s="5" t="s">
        <v>90</v>
      </c>
      <c r="E57" s="5" t="s">
        <v>228</v>
      </c>
      <c r="F57" s="22" t="s">
        <v>229</v>
      </c>
    </row>
    <row r="59" spans="1:3" ht="14.25">
      <c r="A59" s="19"/>
      <c r="B59" s="19"/>
      <c r="C59" s="20" t="s">
        <v>233</v>
      </c>
    </row>
    <row r="60" spans="1:6" ht="15">
      <c r="A60" s="21" t="s">
        <v>82</v>
      </c>
      <c r="B60" s="21"/>
      <c r="C60" s="21" t="s">
        <v>83</v>
      </c>
      <c r="D60" s="21" t="s">
        <v>84</v>
      </c>
      <c r="E60" s="21" t="s">
        <v>85</v>
      </c>
      <c r="F60" s="21" t="s">
        <v>86</v>
      </c>
    </row>
    <row r="61" spans="1:6" ht="12.75">
      <c r="A61" s="18" t="s">
        <v>207</v>
      </c>
      <c r="B61" s="18"/>
      <c r="C61" s="5" t="s">
        <v>234</v>
      </c>
      <c r="D61" s="5" t="s">
        <v>109</v>
      </c>
      <c r="E61" s="5" t="s">
        <v>230</v>
      </c>
      <c r="F61" s="22" t="s">
        <v>231</v>
      </c>
    </row>
  </sheetData>
  <sheetProtection/>
  <mergeCells count="23">
    <mergeCell ref="A18:V18"/>
    <mergeCell ref="A15:V15"/>
    <mergeCell ref="A11:V11"/>
    <mergeCell ref="A8:V8"/>
    <mergeCell ref="A5:V5"/>
    <mergeCell ref="A1:V2"/>
    <mergeCell ref="B3:B4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  <mergeCell ref="A39:V39"/>
    <mergeCell ref="A34:V34"/>
    <mergeCell ref="A29:V29"/>
    <mergeCell ref="A24:V2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7"/>
  <sheetViews>
    <sheetView zoomScale="80" zoomScaleNormal="80"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625" style="5" customWidth="1"/>
    <col min="3" max="3" width="29.75390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16.75390625" style="5" bestFit="1" customWidth="1"/>
    <col min="8" max="10" width="5.625" style="4" bestFit="1" customWidth="1"/>
    <col min="11" max="11" width="4.875" style="4" bestFit="1" customWidth="1"/>
    <col min="12" max="14" width="5.625" style="4" bestFit="1" customWidth="1"/>
    <col min="15" max="15" width="4.875" style="4" bestFit="1" customWidth="1"/>
    <col min="16" max="18" width="5.625" style="4" bestFit="1" customWidth="1"/>
    <col min="19" max="19" width="4.875" style="4" bestFit="1" customWidth="1"/>
    <col min="20" max="20" width="7.875" style="5" bestFit="1" customWidth="1"/>
    <col min="21" max="21" width="8.625" style="4" bestFit="1" customWidth="1"/>
    <col min="22" max="22" width="14.75390625" style="5" bestFit="1" customWidth="1"/>
    <col min="23" max="16384" width="9.125" style="4" customWidth="1"/>
  </cols>
  <sheetData>
    <row r="1" spans="1:22" s="3" customFormat="1" ht="28.5" customHeight="1">
      <c r="A1" s="38" t="s">
        <v>1646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22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</row>
    <row r="3" spans="1:22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1</v>
      </c>
      <c r="I3" s="30"/>
      <c r="J3" s="30"/>
      <c r="K3" s="30"/>
      <c r="L3" s="30" t="s">
        <v>2</v>
      </c>
      <c r="M3" s="30"/>
      <c r="N3" s="30"/>
      <c r="O3" s="30"/>
      <c r="P3" s="30" t="s">
        <v>3</v>
      </c>
      <c r="Q3" s="30"/>
      <c r="R3" s="30"/>
      <c r="S3" s="30"/>
      <c r="T3" s="30" t="s">
        <v>4</v>
      </c>
      <c r="U3" s="30" t="s">
        <v>6</v>
      </c>
      <c r="V3" s="32" t="s">
        <v>5</v>
      </c>
    </row>
    <row r="4" spans="1:22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2">
        <v>1</v>
      </c>
      <c r="M4" s="2">
        <v>2</v>
      </c>
      <c r="N4" s="2">
        <v>3</v>
      </c>
      <c r="O4" s="2" t="s">
        <v>8</v>
      </c>
      <c r="P4" s="2">
        <v>1</v>
      </c>
      <c r="Q4" s="2">
        <v>2</v>
      </c>
      <c r="R4" s="2">
        <v>3</v>
      </c>
      <c r="S4" s="2" t="s">
        <v>8</v>
      </c>
      <c r="T4" s="31"/>
      <c r="U4" s="31"/>
      <c r="V4" s="33"/>
    </row>
    <row r="5" spans="1:22" ht="1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2.75">
      <c r="A6" s="6" t="s">
        <v>236</v>
      </c>
      <c r="B6" s="6" t="s">
        <v>1892</v>
      </c>
      <c r="C6" s="6" t="s">
        <v>237</v>
      </c>
      <c r="D6" s="6" t="s">
        <v>238</v>
      </c>
      <c r="E6" s="6" t="str">
        <f>"0,6131"</f>
        <v>0,6131</v>
      </c>
      <c r="F6" s="6" t="s">
        <v>18</v>
      </c>
      <c r="G6" s="6" t="s">
        <v>19</v>
      </c>
      <c r="H6" s="7" t="s">
        <v>64</v>
      </c>
      <c r="I6" s="7" t="s">
        <v>42</v>
      </c>
      <c r="J6" s="8" t="s">
        <v>37</v>
      </c>
      <c r="K6" s="8"/>
      <c r="L6" s="7" t="s">
        <v>115</v>
      </c>
      <c r="M6" s="8" t="s">
        <v>118</v>
      </c>
      <c r="N6" s="7" t="s">
        <v>118</v>
      </c>
      <c r="O6" s="8"/>
      <c r="P6" s="7" t="s">
        <v>64</v>
      </c>
      <c r="Q6" s="8" t="s">
        <v>42</v>
      </c>
      <c r="R6" s="8" t="s">
        <v>42</v>
      </c>
      <c r="S6" s="8"/>
      <c r="T6" s="6" t="str">
        <f>"585,0"</f>
        <v>585,0</v>
      </c>
      <c r="U6" s="7" t="str">
        <f>"424,6576"</f>
        <v>424,6576</v>
      </c>
      <c r="V6" s="6" t="s">
        <v>239</v>
      </c>
    </row>
    <row r="8" spans="1:22" ht="15">
      <c r="A8" s="48" t="s">
        <v>66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ht="12.75">
      <c r="A9" s="6" t="s">
        <v>240</v>
      </c>
      <c r="B9" s="6" t="s">
        <v>1895</v>
      </c>
      <c r="C9" s="6" t="s">
        <v>241</v>
      </c>
      <c r="D9" s="6" t="s">
        <v>242</v>
      </c>
      <c r="E9" s="6" t="str">
        <f>"0,5616"</f>
        <v>0,5616</v>
      </c>
      <c r="F9" s="6" t="s">
        <v>18</v>
      </c>
      <c r="G9" s="6" t="s">
        <v>19</v>
      </c>
      <c r="H9" s="7" t="s">
        <v>194</v>
      </c>
      <c r="I9" s="7" t="s">
        <v>243</v>
      </c>
      <c r="J9" s="8"/>
      <c r="K9" s="8"/>
      <c r="L9" s="7" t="s">
        <v>162</v>
      </c>
      <c r="M9" s="7" t="s">
        <v>244</v>
      </c>
      <c r="N9" s="8"/>
      <c r="O9" s="8"/>
      <c r="P9" s="7" t="s">
        <v>175</v>
      </c>
      <c r="Q9" s="7" t="s">
        <v>244</v>
      </c>
      <c r="R9" s="8"/>
      <c r="S9" s="8"/>
      <c r="T9" s="6" t="str">
        <f>"930,0"</f>
        <v>930,0</v>
      </c>
      <c r="U9" s="7" t="str">
        <f>"572,9500"</f>
        <v>572,9500</v>
      </c>
      <c r="V9" s="6" t="s">
        <v>189</v>
      </c>
    </row>
    <row r="11" ht="15">
      <c r="F11" s="15" t="s">
        <v>74</v>
      </c>
    </row>
    <row r="12" ht="15">
      <c r="F12" s="15" t="s">
        <v>75</v>
      </c>
    </row>
    <row r="13" ht="15">
      <c r="F13" s="15" t="s">
        <v>76</v>
      </c>
    </row>
    <row r="14" ht="15">
      <c r="F14" s="15" t="s">
        <v>77</v>
      </c>
    </row>
    <row r="15" ht="15">
      <c r="F15" s="15" t="s">
        <v>77</v>
      </c>
    </row>
    <row r="16" ht="15">
      <c r="F16" s="15" t="s">
        <v>78</v>
      </c>
    </row>
    <row r="17" ht="15">
      <c r="F17" s="15"/>
    </row>
  </sheetData>
  <sheetProtection/>
  <mergeCells count="16">
    <mergeCell ref="A1:V2"/>
    <mergeCell ref="A8:V8"/>
    <mergeCell ref="A5:V5"/>
    <mergeCell ref="G3:G4"/>
    <mergeCell ref="H3:K3"/>
    <mergeCell ref="L3:O3"/>
    <mergeCell ref="P3:S3"/>
    <mergeCell ref="T3:T4"/>
    <mergeCell ref="B3:B4"/>
    <mergeCell ref="U3:U4"/>
    <mergeCell ref="V3:V4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4"/>
  <sheetViews>
    <sheetView zoomScale="90" zoomScaleNormal="90"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625" style="5" customWidth="1"/>
    <col min="3" max="3" width="22.875" style="5" bestFit="1" customWidth="1"/>
    <col min="4" max="4" width="5.75390625" style="5" bestFit="1" customWidth="1"/>
    <col min="5" max="5" width="6.625" style="5" bestFit="1" customWidth="1"/>
    <col min="6" max="6" width="22.75390625" style="5" bestFit="1" customWidth="1"/>
    <col min="7" max="7" width="16.75390625" style="5" bestFit="1" customWidth="1"/>
    <col min="8" max="10" width="5.625" style="4" bestFit="1" customWidth="1"/>
    <col min="11" max="11" width="4.875" style="4" bestFit="1" customWidth="1"/>
    <col min="12" max="12" width="5.625" style="4" bestFit="1" customWidth="1"/>
    <col min="13" max="14" width="2.125" style="4" bestFit="1" customWidth="1"/>
    <col min="15" max="15" width="4.875" style="4" bestFit="1" customWidth="1"/>
    <col min="16" max="16" width="5.625" style="4" bestFit="1" customWidth="1"/>
    <col min="17" max="18" width="2.125" style="4" bestFit="1" customWidth="1"/>
    <col min="19" max="19" width="4.875" style="4" bestFit="1" customWidth="1"/>
    <col min="20" max="20" width="7.875" style="5" bestFit="1" customWidth="1"/>
    <col min="21" max="21" width="6.625" style="4" bestFit="1" customWidth="1"/>
    <col min="22" max="22" width="8.875" style="5" bestFit="1" customWidth="1"/>
    <col min="23" max="16384" width="9.125" style="4" customWidth="1"/>
  </cols>
  <sheetData>
    <row r="1" spans="1:22" s="3" customFormat="1" ht="28.5" customHeight="1">
      <c r="A1" s="38" t="s">
        <v>1645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22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</row>
    <row r="3" spans="1:22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1</v>
      </c>
      <c r="I3" s="30"/>
      <c r="J3" s="30"/>
      <c r="K3" s="30"/>
      <c r="L3" s="30" t="s">
        <v>2</v>
      </c>
      <c r="M3" s="30"/>
      <c r="N3" s="30"/>
      <c r="O3" s="30"/>
      <c r="P3" s="30" t="s">
        <v>3</v>
      </c>
      <c r="Q3" s="30"/>
      <c r="R3" s="30"/>
      <c r="S3" s="30"/>
      <c r="T3" s="30" t="s">
        <v>4</v>
      </c>
      <c r="U3" s="30" t="s">
        <v>6</v>
      </c>
      <c r="V3" s="32" t="s">
        <v>5</v>
      </c>
    </row>
    <row r="4" spans="1:22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2">
        <v>1</v>
      </c>
      <c r="M4" s="2">
        <v>2</v>
      </c>
      <c r="N4" s="2">
        <v>3</v>
      </c>
      <c r="O4" s="2" t="s">
        <v>8</v>
      </c>
      <c r="P4" s="2">
        <v>1</v>
      </c>
      <c r="Q4" s="2">
        <v>2</v>
      </c>
      <c r="R4" s="2">
        <v>3</v>
      </c>
      <c r="S4" s="2" t="s">
        <v>8</v>
      </c>
      <c r="T4" s="31"/>
      <c r="U4" s="31"/>
      <c r="V4" s="33"/>
    </row>
    <row r="5" spans="1:22" ht="15">
      <c r="A5" s="49" t="s">
        <v>155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2.75">
      <c r="A6" s="6" t="s">
        <v>246</v>
      </c>
      <c r="B6" s="6" t="s">
        <v>1890</v>
      </c>
      <c r="C6" s="6" t="s">
        <v>247</v>
      </c>
      <c r="D6" s="6" t="s">
        <v>248</v>
      </c>
      <c r="E6" s="6" t="str">
        <f>"0,6424"</f>
        <v>0,6424</v>
      </c>
      <c r="F6" s="6" t="s">
        <v>18</v>
      </c>
      <c r="G6" s="6" t="s">
        <v>19</v>
      </c>
      <c r="H6" s="8" t="s">
        <v>175</v>
      </c>
      <c r="I6" s="8" t="s">
        <v>175</v>
      </c>
      <c r="J6" s="8" t="s">
        <v>175</v>
      </c>
      <c r="K6" s="8"/>
      <c r="L6" s="8" t="s">
        <v>118</v>
      </c>
      <c r="M6" s="8"/>
      <c r="N6" s="8"/>
      <c r="O6" s="8"/>
      <c r="P6" s="8" t="s">
        <v>22</v>
      </c>
      <c r="Q6" s="8"/>
      <c r="R6" s="8"/>
      <c r="S6" s="8"/>
      <c r="T6" s="6" t="str">
        <f>"0,0"</f>
        <v>0,0</v>
      </c>
      <c r="U6" s="7" t="str">
        <f>"0,0000"</f>
        <v>0,0000</v>
      </c>
      <c r="V6" s="6"/>
    </row>
    <row r="8" ht="15">
      <c r="F8" s="15" t="s">
        <v>74</v>
      </c>
    </row>
    <row r="9" ht="15">
      <c r="F9" s="15" t="s">
        <v>75</v>
      </c>
    </row>
    <row r="10" ht="15">
      <c r="F10" s="15" t="s">
        <v>76</v>
      </c>
    </row>
    <row r="11" ht="15">
      <c r="F11" s="15" t="s">
        <v>77</v>
      </c>
    </row>
    <row r="12" ht="15">
      <c r="F12" s="15" t="s">
        <v>77</v>
      </c>
    </row>
    <row r="13" ht="15">
      <c r="F13" s="15" t="s">
        <v>78</v>
      </c>
    </row>
    <row r="14" ht="15">
      <c r="F14" s="15"/>
    </row>
  </sheetData>
  <sheetProtection/>
  <mergeCells count="15">
    <mergeCell ref="A5:V5"/>
    <mergeCell ref="L3:O3"/>
    <mergeCell ref="P3:S3"/>
    <mergeCell ref="T3:T4"/>
    <mergeCell ref="U3:U4"/>
    <mergeCell ref="B3:B4"/>
    <mergeCell ref="A1:V2"/>
    <mergeCell ref="V3:V4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2"/>
  <sheetViews>
    <sheetView zoomScale="80" zoomScaleNormal="80"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625" style="5" customWidth="1"/>
    <col min="3" max="3" width="29.75390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3.375" style="5" bestFit="1" customWidth="1"/>
    <col min="8" max="11" width="5.625" style="4" bestFit="1" customWidth="1"/>
    <col min="12" max="12" width="11.25390625" style="5" customWidth="1"/>
    <col min="13" max="13" width="8.625" style="4" bestFit="1" customWidth="1"/>
    <col min="14" max="14" width="16.75390625" style="5" bestFit="1" customWidth="1"/>
    <col min="15" max="16384" width="9.125" style="4" customWidth="1"/>
  </cols>
  <sheetData>
    <row r="1" spans="1:14" s="3" customFormat="1" ht="28.5" customHeight="1">
      <c r="A1" s="38" t="s">
        <v>1899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2</v>
      </c>
      <c r="I3" s="30"/>
      <c r="J3" s="30"/>
      <c r="K3" s="30"/>
      <c r="L3" s="30" t="s">
        <v>433</v>
      </c>
      <c r="M3" s="30" t="s">
        <v>6</v>
      </c>
      <c r="N3" s="32" t="s">
        <v>5</v>
      </c>
    </row>
    <row r="4" spans="1:14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31"/>
      <c r="M4" s="31"/>
      <c r="N4" s="33"/>
    </row>
    <row r="5" spans="1:14" ht="15">
      <c r="A5" s="49" t="s">
        <v>110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9" t="s">
        <v>249</v>
      </c>
      <c r="B6" s="9" t="s">
        <v>1897</v>
      </c>
      <c r="C6" s="9" t="s">
        <v>250</v>
      </c>
      <c r="D6" s="9" t="s">
        <v>251</v>
      </c>
      <c r="E6" s="9" t="str">
        <f>"1,0576"</f>
        <v>1,0576</v>
      </c>
      <c r="F6" s="9" t="s">
        <v>252</v>
      </c>
      <c r="G6" s="9" t="s">
        <v>253</v>
      </c>
      <c r="H6" s="11" t="s">
        <v>90</v>
      </c>
      <c r="I6" s="11" t="s">
        <v>222</v>
      </c>
      <c r="J6" s="11" t="s">
        <v>254</v>
      </c>
      <c r="K6" s="10" t="s">
        <v>100</v>
      </c>
      <c r="L6" s="9" t="str">
        <f>"117,5"</f>
        <v>117,5</v>
      </c>
      <c r="M6" s="11" t="str">
        <f>"124,2680"</f>
        <v>124,2680</v>
      </c>
      <c r="N6" s="9" t="s">
        <v>29</v>
      </c>
    </row>
    <row r="7" spans="1:14" ht="12.75">
      <c r="A7" s="23" t="s">
        <v>255</v>
      </c>
      <c r="B7" s="23" t="s">
        <v>1895</v>
      </c>
      <c r="C7" s="23" t="s">
        <v>256</v>
      </c>
      <c r="D7" s="23" t="s">
        <v>257</v>
      </c>
      <c r="E7" s="23" t="str">
        <f>"1,0564"</f>
        <v>1,0564</v>
      </c>
      <c r="F7" s="23" t="s">
        <v>18</v>
      </c>
      <c r="G7" s="23" t="s">
        <v>19</v>
      </c>
      <c r="H7" s="24" t="s">
        <v>91</v>
      </c>
      <c r="I7" s="24" t="s">
        <v>90</v>
      </c>
      <c r="J7" s="25" t="s">
        <v>258</v>
      </c>
      <c r="K7" s="25"/>
      <c r="L7" s="23" t="str">
        <f>"110,0"</f>
        <v>110,0</v>
      </c>
      <c r="M7" s="24" t="str">
        <f>"116,2040"</f>
        <v>116,2040</v>
      </c>
      <c r="N7" s="23" t="s">
        <v>259</v>
      </c>
    </row>
    <row r="8" spans="1:14" ht="12.75">
      <c r="A8" s="23" t="s">
        <v>260</v>
      </c>
      <c r="B8" s="23" t="s">
        <v>1891</v>
      </c>
      <c r="C8" s="23" t="s">
        <v>261</v>
      </c>
      <c r="D8" s="23" t="s">
        <v>262</v>
      </c>
      <c r="E8" s="23" t="str">
        <f>"1,0805"</f>
        <v>1,0805</v>
      </c>
      <c r="F8" s="23" t="s">
        <v>18</v>
      </c>
      <c r="G8" s="23" t="s">
        <v>19</v>
      </c>
      <c r="H8" s="24" t="s">
        <v>263</v>
      </c>
      <c r="I8" s="25" t="s">
        <v>133</v>
      </c>
      <c r="J8" s="25" t="s">
        <v>133</v>
      </c>
      <c r="K8" s="25"/>
      <c r="L8" s="23" t="str">
        <f>"92,5"</f>
        <v>92,5</v>
      </c>
      <c r="M8" s="24" t="str">
        <f>"99,9463"</f>
        <v>99,9463</v>
      </c>
      <c r="N8" s="23" t="s">
        <v>29</v>
      </c>
    </row>
    <row r="9" spans="1:14" ht="12.75">
      <c r="A9" s="12" t="s">
        <v>264</v>
      </c>
      <c r="B9" s="12" t="s">
        <v>1887</v>
      </c>
      <c r="C9" s="12" t="s">
        <v>265</v>
      </c>
      <c r="D9" s="12" t="s">
        <v>266</v>
      </c>
      <c r="E9" s="12" t="str">
        <f>"1,0261"</f>
        <v>1,0261</v>
      </c>
      <c r="F9" s="12" t="s">
        <v>18</v>
      </c>
      <c r="G9" s="12" t="s">
        <v>19</v>
      </c>
      <c r="H9" s="14" t="s">
        <v>225</v>
      </c>
      <c r="I9" s="13" t="s">
        <v>124</v>
      </c>
      <c r="J9" s="13" t="s">
        <v>224</v>
      </c>
      <c r="K9" s="13"/>
      <c r="L9" s="12" t="str">
        <f>"60,0"</f>
        <v>60,0</v>
      </c>
      <c r="M9" s="14" t="str">
        <f>"61,5660"</f>
        <v>61,5660</v>
      </c>
      <c r="N9" s="12" t="s">
        <v>267</v>
      </c>
    </row>
    <row r="11" spans="1:14" ht="15">
      <c r="A11" s="48" t="s">
        <v>110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2.75">
      <c r="A12" s="9" t="s">
        <v>268</v>
      </c>
      <c r="B12" s="9" t="s">
        <v>1889</v>
      </c>
      <c r="C12" s="9" t="s">
        <v>269</v>
      </c>
      <c r="D12" s="9" t="s">
        <v>113</v>
      </c>
      <c r="E12" s="9" t="str">
        <f>"0,7832"</f>
        <v>0,7832</v>
      </c>
      <c r="F12" s="9" t="s">
        <v>18</v>
      </c>
      <c r="G12" s="9" t="s">
        <v>19</v>
      </c>
      <c r="H12" s="11" t="s">
        <v>91</v>
      </c>
      <c r="I12" s="10" t="s">
        <v>134</v>
      </c>
      <c r="J12" s="10" t="s">
        <v>134</v>
      </c>
      <c r="K12" s="10"/>
      <c r="L12" s="9" t="str">
        <f>"100,0"</f>
        <v>100,0</v>
      </c>
      <c r="M12" s="11" t="str">
        <f>"78,3200"</f>
        <v>78,3200</v>
      </c>
      <c r="N12" s="9" t="s">
        <v>270</v>
      </c>
    </row>
    <row r="13" spans="1:14" ht="12.75">
      <c r="A13" s="23" t="s">
        <v>271</v>
      </c>
      <c r="B13" s="23" t="s">
        <v>1889</v>
      </c>
      <c r="C13" s="23" t="s">
        <v>272</v>
      </c>
      <c r="D13" s="23" t="s">
        <v>273</v>
      </c>
      <c r="E13" s="23" t="str">
        <f>"0,7952"</f>
        <v>0,7952</v>
      </c>
      <c r="F13" s="23" t="s">
        <v>34</v>
      </c>
      <c r="G13" s="23" t="s">
        <v>274</v>
      </c>
      <c r="H13" s="24" t="s">
        <v>275</v>
      </c>
      <c r="I13" s="25" t="s">
        <v>221</v>
      </c>
      <c r="J13" s="25" t="s">
        <v>221</v>
      </c>
      <c r="K13" s="25"/>
      <c r="L13" s="23" t="str">
        <f>"97,5"</f>
        <v>97,5</v>
      </c>
      <c r="M13" s="24" t="str">
        <f>"77,5320"</f>
        <v>77,5320</v>
      </c>
      <c r="N13" s="23" t="s">
        <v>276</v>
      </c>
    </row>
    <row r="14" spans="1:14" ht="12.75">
      <c r="A14" s="12" t="s">
        <v>277</v>
      </c>
      <c r="B14" s="12" t="s">
        <v>1896</v>
      </c>
      <c r="C14" s="12" t="s">
        <v>278</v>
      </c>
      <c r="D14" s="12" t="s">
        <v>279</v>
      </c>
      <c r="E14" s="12" t="str">
        <f>"0,7881"</f>
        <v>0,7881</v>
      </c>
      <c r="F14" s="12" t="s">
        <v>34</v>
      </c>
      <c r="G14" s="12" t="s">
        <v>280</v>
      </c>
      <c r="H14" s="14" t="s">
        <v>281</v>
      </c>
      <c r="I14" s="14" t="s">
        <v>282</v>
      </c>
      <c r="J14" s="13" t="s">
        <v>232</v>
      </c>
      <c r="K14" s="13"/>
      <c r="L14" s="12" t="str">
        <f>"85,0"</f>
        <v>85,0</v>
      </c>
      <c r="M14" s="14" t="str">
        <f>"66,9885"</f>
        <v>66,9885</v>
      </c>
      <c r="N14" s="12" t="s">
        <v>283</v>
      </c>
    </row>
    <row r="16" spans="1:14" ht="15">
      <c r="A16" s="48" t="s">
        <v>128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2.75">
      <c r="A17" s="9" t="s">
        <v>284</v>
      </c>
      <c r="B17" s="9" t="s">
        <v>1892</v>
      </c>
      <c r="C17" s="9" t="s">
        <v>285</v>
      </c>
      <c r="D17" s="9" t="s">
        <v>286</v>
      </c>
      <c r="E17" s="9" t="str">
        <f>"0,7159"</f>
        <v>0,7159</v>
      </c>
      <c r="F17" s="27" t="s">
        <v>1644</v>
      </c>
      <c r="G17" s="9" t="s">
        <v>287</v>
      </c>
      <c r="H17" s="11" t="s">
        <v>288</v>
      </c>
      <c r="I17" s="11" t="s">
        <v>40</v>
      </c>
      <c r="J17" s="10" t="s">
        <v>114</v>
      </c>
      <c r="K17" s="10"/>
      <c r="L17" s="9" t="str">
        <f>"147,5"</f>
        <v>147,5</v>
      </c>
      <c r="M17" s="11" t="str">
        <f>"105,5953"</f>
        <v>105,5953</v>
      </c>
      <c r="N17" s="9" t="s">
        <v>289</v>
      </c>
    </row>
    <row r="18" spans="1:14" ht="12.75">
      <c r="A18" s="23" t="s">
        <v>290</v>
      </c>
      <c r="B18" s="23" t="s">
        <v>1887</v>
      </c>
      <c r="C18" s="23" t="s">
        <v>291</v>
      </c>
      <c r="D18" s="23" t="s">
        <v>292</v>
      </c>
      <c r="E18" s="23" t="str">
        <f>"0,7207"</f>
        <v>0,7207</v>
      </c>
      <c r="F18" s="23" t="s">
        <v>18</v>
      </c>
      <c r="G18" s="23" t="s">
        <v>19</v>
      </c>
      <c r="H18" s="24" t="s">
        <v>134</v>
      </c>
      <c r="I18" s="24" t="s">
        <v>258</v>
      </c>
      <c r="J18" s="24" t="s">
        <v>222</v>
      </c>
      <c r="K18" s="25"/>
      <c r="L18" s="23" t="str">
        <f>"115,0"</f>
        <v>115,0</v>
      </c>
      <c r="M18" s="24" t="str">
        <f>"82,8805"</f>
        <v>82,8805</v>
      </c>
      <c r="N18" s="23"/>
    </row>
    <row r="19" spans="1:14" ht="12.75">
      <c r="A19" s="12" t="s">
        <v>293</v>
      </c>
      <c r="B19" s="12" t="s">
        <v>1887</v>
      </c>
      <c r="C19" s="12" t="s">
        <v>294</v>
      </c>
      <c r="D19" s="12" t="s">
        <v>295</v>
      </c>
      <c r="E19" s="12" t="str">
        <f>"0,7126"</f>
        <v>0,7126</v>
      </c>
      <c r="F19" s="12" t="s">
        <v>18</v>
      </c>
      <c r="G19" s="12" t="s">
        <v>19</v>
      </c>
      <c r="H19" s="14" t="s">
        <v>133</v>
      </c>
      <c r="I19" s="14" t="s">
        <v>134</v>
      </c>
      <c r="J19" s="13" t="s">
        <v>221</v>
      </c>
      <c r="K19" s="13"/>
      <c r="L19" s="12" t="str">
        <f>"105,0"</f>
        <v>105,0</v>
      </c>
      <c r="M19" s="14" t="str">
        <f>"87,1688"</f>
        <v>87,1688</v>
      </c>
      <c r="N19" s="12"/>
    </row>
    <row r="21" spans="1:14" ht="15">
      <c r="A21" s="48" t="s">
        <v>13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2.75">
      <c r="A22" s="9" t="s">
        <v>296</v>
      </c>
      <c r="B22" s="9" t="s">
        <v>1891</v>
      </c>
      <c r="C22" s="9" t="s">
        <v>297</v>
      </c>
      <c r="D22" s="9" t="s">
        <v>298</v>
      </c>
      <c r="E22" s="9" t="str">
        <f>"0,6893"</f>
        <v>0,6893</v>
      </c>
      <c r="F22" s="9" t="s">
        <v>299</v>
      </c>
      <c r="G22" s="9" t="s">
        <v>300</v>
      </c>
      <c r="H22" s="11" t="s">
        <v>115</v>
      </c>
      <c r="I22" s="11" t="s">
        <v>25</v>
      </c>
      <c r="J22" s="11" t="s">
        <v>51</v>
      </c>
      <c r="K22" s="10"/>
      <c r="L22" s="9" t="str">
        <f>"167,5"</f>
        <v>167,5</v>
      </c>
      <c r="M22" s="11" t="str">
        <f>"115,4578"</f>
        <v>115,4578</v>
      </c>
      <c r="N22" s="9" t="s">
        <v>301</v>
      </c>
    </row>
    <row r="23" spans="1:14" ht="12.75">
      <c r="A23" s="23" t="s">
        <v>302</v>
      </c>
      <c r="B23" s="23" t="s">
        <v>1892</v>
      </c>
      <c r="C23" s="23" t="s">
        <v>303</v>
      </c>
      <c r="D23" s="23" t="s">
        <v>304</v>
      </c>
      <c r="E23" s="23" t="str">
        <f>"0,6734"</f>
        <v>0,6734</v>
      </c>
      <c r="F23" s="23" t="s">
        <v>18</v>
      </c>
      <c r="G23" s="23" t="s">
        <v>19</v>
      </c>
      <c r="H23" s="24" t="s">
        <v>41</v>
      </c>
      <c r="I23" s="24" t="s">
        <v>305</v>
      </c>
      <c r="J23" s="24" t="s">
        <v>115</v>
      </c>
      <c r="K23" s="25"/>
      <c r="L23" s="23" t="str">
        <f>"160,0"</f>
        <v>160,0</v>
      </c>
      <c r="M23" s="24" t="str">
        <f>"107,7440"</f>
        <v>107,7440</v>
      </c>
      <c r="N23" s="23" t="s">
        <v>29</v>
      </c>
    </row>
    <row r="24" spans="1:14" ht="12.75">
      <c r="A24" s="23" t="s">
        <v>306</v>
      </c>
      <c r="B24" s="23" t="s">
        <v>1892</v>
      </c>
      <c r="C24" s="23" t="s">
        <v>307</v>
      </c>
      <c r="D24" s="23" t="s">
        <v>298</v>
      </c>
      <c r="E24" s="23" t="str">
        <f>"0,6893"</f>
        <v>0,6893</v>
      </c>
      <c r="F24" s="23" t="s">
        <v>308</v>
      </c>
      <c r="G24" s="23" t="s">
        <v>309</v>
      </c>
      <c r="H24" s="24" t="s">
        <v>23</v>
      </c>
      <c r="I24" s="24" t="s">
        <v>41</v>
      </c>
      <c r="J24" s="25" t="s">
        <v>305</v>
      </c>
      <c r="K24" s="25"/>
      <c r="L24" s="23" t="str">
        <f>"152,5"</f>
        <v>152,5</v>
      </c>
      <c r="M24" s="24" t="str">
        <f>"105,1183"</f>
        <v>105,1183</v>
      </c>
      <c r="N24" s="23" t="s">
        <v>29</v>
      </c>
    </row>
    <row r="25" spans="1:14" ht="12.75">
      <c r="A25" s="12" t="s">
        <v>310</v>
      </c>
      <c r="B25" s="12" t="s">
        <v>1888</v>
      </c>
      <c r="C25" s="12" t="s">
        <v>311</v>
      </c>
      <c r="D25" s="12" t="s">
        <v>147</v>
      </c>
      <c r="E25" s="12" t="str">
        <f>"0,6739"</f>
        <v>0,6739</v>
      </c>
      <c r="F25" s="12" t="s">
        <v>18</v>
      </c>
      <c r="G25" s="12" t="s">
        <v>19</v>
      </c>
      <c r="H25" s="14" t="s">
        <v>188</v>
      </c>
      <c r="I25" s="13" t="s">
        <v>23</v>
      </c>
      <c r="J25" s="13" t="s">
        <v>23</v>
      </c>
      <c r="K25" s="13"/>
      <c r="L25" s="12" t="str">
        <f>"137,5"</f>
        <v>137,5</v>
      </c>
      <c r="M25" s="14" t="str">
        <f>"92,6613"</f>
        <v>92,6613</v>
      </c>
      <c r="N25" s="12" t="s">
        <v>312</v>
      </c>
    </row>
    <row r="27" spans="1:14" ht="15">
      <c r="A27" s="48" t="s">
        <v>155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12.75">
      <c r="A28" s="9" t="s">
        <v>313</v>
      </c>
      <c r="B28" s="9" t="s">
        <v>1892</v>
      </c>
      <c r="C28" s="9" t="s">
        <v>314</v>
      </c>
      <c r="D28" s="9" t="s">
        <v>315</v>
      </c>
      <c r="E28" s="9" t="str">
        <f>"0,6436"</f>
        <v>0,6436</v>
      </c>
      <c r="F28" s="9" t="s">
        <v>34</v>
      </c>
      <c r="G28" s="9" t="s">
        <v>316</v>
      </c>
      <c r="H28" s="11" t="s">
        <v>24</v>
      </c>
      <c r="I28" s="11" t="s">
        <v>25</v>
      </c>
      <c r="J28" s="10" t="s">
        <v>198</v>
      </c>
      <c r="K28" s="10"/>
      <c r="L28" s="9" t="str">
        <f>"165,0"</f>
        <v>165,0</v>
      </c>
      <c r="M28" s="11" t="str">
        <f>"106,1940"</f>
        <v>106,1940</v>
      </c>
      <c r="N28" s="9" t="s">
        <v>29</v>
      </c>
    </row>
    <row r="29" spans="1:14" ht="12.75">
      <c r="A29" s="23" t="s">
        <v>318</v>
      </c>
      <c r="B29" s="23" t="s">
        <v>1895</v>
      </c>
      <c r="C29" s="23" t="s">
        <v>319</v>
      </c>
      <c r="D29" s="23" t="s">
        <v>320</v>
      </c>
      <c r="E29" s="23" t="str">
        <f>"0,6451"</f>
        <v>0,6451</v>
      </c>
      <c r="F29" s="23" t="s">
        <v>34</v>
      </c>
      <c r="G29" s="23" t="s">
        <v>183</v>
      </c>
      <c r="H29" s="24" t="s">
        <v>321</v>
      </c>
      <c r="I29" s="24" t="s">
        <v>153</v>
      </c>
      <c r="J29" s="24" t="s">
        <v>37</v>
      </c>
      <c r="K29" s="25"/>
      <c r="L29" s="23" t="str">
        <f>"220,0"</f>
        <v>220,0</v>
      </c>
      <c r="M29" s="24" t="str">
        <f>"141,9220"</f>
        <v>141,9220</v>
      </c>
      <c r="N29" s="23" t="s">
        <v>322</v>
      </c>
    </row>
    <row r="30" spans="1:14" ht="12.75">
      <c r="A30" s="23" t="s">
        <v>323</v>
      </c>
      <c r="B30" s="23" t="s">
        <v>1891</v>
      </c>
      <c r="C30" s="23" t="s">
        <v>324</v>
      </c>
      <c r="D30" s="23" t="s">
        <v>325</v>
      </c>
      <c r="E30" s="23" t="str">
        <f>"0,6495"</f>
        <v>0,6495</v>
      </c>
      <c r="F30" s="23" t="s">
        <v>18</v>
      </c>
      <c r="G30" s="23" t="s">
        <v>19</v>
      </c>
      <c r="H30" s="24" t="s">
        <v>61</v>
      </c>
      <c r="I30" s="25" t="s">
        <v>326</v>
      </c>
      <c r="J30" s="25" t="s">
        <v>326</v>
      </c>
      <c r="K30" s="25"/>
      <c r="L30" s="23" t="str">
        <f>"180,0"</f>
        <v>180,0</v>
      </c>
      <c r="M30" s="24" t="str">
        <f>"116,9100"</f>
        <v>116,9100</v>
      </c>
      <c r="N30" s="23" t="s">
        <v>327</v>
      </c>
    </row>
    <row r="31" spans="1:14" ht="12.75">
      <c r="A31" s="23" t="s">
        <v>328</v>
      </c>
      <c r="B31" s="23" t="s">
        <v>1888</v>
      </c>
      <c r="C31" s="23" t="s">
        <v>329</v>
      </c>
      <c r="D31" s="23" t="s">
        <v>330</v>
      </c>
      <c r="E31" s="23" t="str">
        <f>"0,6402"</f>
        <v>0,6402</v>
      </c>
      <c r="F31" s="23" t="s">
        <v>18</v>
      </c>
      <c r="G31" s="23" t="s">
        <v>19</v>
      </c>
      <c r="H31" s="24" t="s">
        <v>41</v>
      </c>
      <c r="I31" s="25" t="s">
        <v>24</v>
      </c>
      <c r="J31" s="25" t="s">
        <v>24</v>
      </c>
      <c r="K31" s="25"/>
      <c r="L31" s="23" t="str">
        <f>"152,5"</f>
        <v>152,5</v>
      </c>
      <c r="M31" s="24" t="str">
        <f>"97,6305"</f>
        <v>97,6305</v>
      </c>
      <c r="N31" s="23" t="s">
        <v>29</v>
      </c>
    </row>
    <row r="32" spans="1:14" ht="12.75">
      <c r="A32" s="23" t="s">
        <v>331</v>
      </c>
      <c r="B32" s="23" t="s">
        <v>1887</v>
      </c>
      <c r="C32" s="23" t="s">
        <v>332</v>
      </c>
      <c r="D32" s="23" t="s">
        <v>333</v>
      </c>
      <c r="E32" s="23" t="str">
        <f>"0,6519"</f>
        <v>0,6519</v>
      </c>
      <c r="F32" s="23" t="s">
        <v>34</v>
      </c>
      <c r="G32" s="23" t="s">
        <v>334</v>
      </c>
      <c r="H32" s="24" t="s">
        <v>109</v>
      </c>
      <c r="I32" s="25" t="s">
        <v>96</v>
      </c>
      <c r="J32" s="25" t="s">
        <v>96</v>
      </c>
      <c r="K32" s="25"/>
      <c r="L32" s="23" t="str">
        <f>"125,0"</f>
        <v>125,0</v>
      </c>
      <c r="M32" s="24" t="str">
        <f>"81,4875"</f>
        <v>81,4875</v>
      </c>
      <c r="N32" s="23" t="s">
        <v>335</v>
      </c>
    </row>
    <row r="33" spans="1:14" ht="12.75">
      <c r="A33" s="12" t="s">
        <v>336</v>
      </c>
      <c r="B33" s="12" t="s">
        <v>1891</v>
      </c>
      <c r="C33" s="12" t="s">
        <v>337</v>
      </c>
      <c r="D33" s="12" t="s">
        <v>338</v>
      </c>
      <c r="E33" s="12" t="str">
        <f>"0,6570"</f>
        <v>0,6570</v>
      </c>
      <c r="F33" s="12" t="s">
        <v>34</v>
      </c>
      <c r="G33" s="12" t="s">
        <v>159</v>
      </c>
      <c r="H33" s="14" t="s">
        <v>24</v>
      </c>
      <c r="I33" s="13" t="s">
        <v>50</v>
      </c>
      <c r="J33" s="13" t="s">
        <v>50</v>
      </c>
      <c r="K33" s="13"/>
      <c r="L33" s="12" t="str">
        <f>"155,0"</f>
        <v>155,0</v>
      </c>
      <c r="M33" s="14" t="str">
        <f>"131,4690"</f>
        <v>131,4690</v>
      </c>
      <c r="N33" s="12"/>
    </row>
    <row r="35" spans="1:14" ht="15">
      <c r="A35" s="48" t="s">
        <v>30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14" ht="12.75">
      <c r="A36" s="9" t="s">
        <v>340</v>
      </c>
      <c r="B36" s="9" t="s">
        <v>1895</v>
      </c>
      <c r="C36" s="9" t="s">
        <v>341</v>
      </c>
      <c r="D36" s="9" t="s">
        <v>342</v>
      </c>
      <c r="E36" s="9" t="str">
        <f>"0,6129"</f>
        <v>0,6129</v>
      </c>
      <c r="F36" s="9" t="s">
        <v>34</v>
      </c>
      <c r="G36" s="9" t="s">
        <v>343</v>
      </c>
      <c r="H36" s="11" t="s">
        <v>20</v>
      </c>
      <c r="I36" s="11" t="s">
        <v>344</v>
      </c>
      <c r="J36" s="11" t="s">
        <v>37</v>
      </c>
      <c r="K36" s="10"/>
      <c r="L36" s="9" t="str">
        <f>"220,0"</f>
        <v>220,0</v>
      </c>
      <c r="M36" s="11" t="str">
        <f>"134,8380"</f>
        <v>134,8380</v>
      </c>
      <c r="N36" s="9" t="s">
        <v>345</v>
      </c>
    </row>
    <row r="37" spans="1:14" ht="12.75">
      <c r="A37" s="23" t="s">
        <v>346</v>
      </c>
      <c r="B37" s="23" t="s">
        <v>1891</v>
      </c>
      <c r="C37" s="23" t="s">
        <v>347</v>
      </c>
      <c r="D37" s="23" t="s">
        <v>348</v>
      </c>
      <c r="E37" s="23" t="str">
        <f>"0,6150"</f>
        <v>0,6150</v>
      </c>
      <c r="F37" s="23" t="s">
        <v>34</v>
      </c>
      <c r="G37" s="23" t="s">
        <v>167</v>
      </c>
      <c r="H37" s="24" t="s">
        <v>62</v>
      </c>
      <c r="I37" s="24" t="s">
        <v>64</v>
      </c>
      <c r="J37" s="24" t="s">
        <v>20</v>
      </c>
      <c r="K37" s="25" t="s">
        <v>344</v>
      </c>
      <c r="L37" s="23" t="str">
        <f>"210,0"</f>
        <v>210,0</v>
      </c>
      <c r="M37" s="24" t="str">
        <f>"129,1500"</f>
        <v>129,1500</v>
      </c>
      <c r="N37" s="23"/>
    </row>
    <row r="38" spans="1:14" ht="12.75">
      <c r="A38" s="23" t="s">
        <v>349</v>
      </c>
      <c r="B38" s="23" t="s">
        <v>1891</v>
      </c>
      <c r="C38" s="23" t="s">
        <v>350</v>
      </c>
      <c r="D38" s="23" t="s">
        <v>351</v>
      </c>
      <c r="E38" s="23" t="str">
        <f>"0,6086"</f>
        <v>0,6086</v>
      </c>
      <c r="F38" s="23" t="s">
        <v>34</v>
      </c>
      <c r="G38" s="23" t="s">
        <v>352</v>
      </c>
      <c r="H38" s="24" t="s">
        <v>64</v>
      </c>
      <c r="I38" s="24" t="s">
        <v>20</v>
      </c>
      <c r="J38" s="25" t="s">
        <v>42</v>
      </c>
      <c r="K38" s="25"/>
      <c r="L38" s="23" t="str">
        <f>"210,0"</f>
        <v>210,0</v>
      </c>
      <c r="M38" s="24" t="str">
        <f>"127,8060"</f>
        <v>127,8060</v>
      </c>
      <c r="N38" s="23" t="s">
        <v>353</v>
      </c>
    </row>
    <row r="39" spans="1:14" ht="12.75">
      <c r="A39" s="23" t="s">
        <v>354</v>
      </c>
      <c r="B39" s="23" t="s">
        <v>1891</v>
      </c>
      <c r="C39" s="23" t="s">
        <v>355</v>
      </c>
      <c r="D39" s="23" t="s">
        <v>356</v>
      </c>
      <c r="E39" s="23" t="str">
        <f>"0,6123"</f>
        <v>0,6123</v>
      </c>
      <c r="F39" s="23" t="s">
        <v>18</v>
      </c>
      <c r="G39" s="23" t="s">
        <v>19</v>
      </c>
      <c r="H39" s="24" t="s">
        <v>177</v>
      </c>
      <c r="I39" s="24" t="s">
        <v>143</v>
      </c>
      <c r="J39" s="25" t="s">
        <v>321</v>
      </c>
      <c r="K39" s="25"/>
      <c r="L39" s="23" t="str">
        <f>"197,5"</f>
        <v>197,5</v>
      </c>
      <c r="M39" s="24" t="str">
        <f>"120,9292"</f>
        <v>120,9292</v>
      </c>
      <c r="N39" s="23" t="s">
        <v>312</v>
      </c>
    </row>
    <row r="40" spans="1:14" ht="12.75">
      <c r="A40" s="23" t="s">
        <v>357</v>
      </c>
      <c r="B40" s="23" t="s">
        <v>1892</v>
      </c>
      <c r="C40" s="23" t="s">
        <v>358</v>
      </c>
      <c r="D40" s="23" t="s">
        <v>359</v>
      </c>
      <c r="E40" s="23" t="str">
        <f>"0,6345"</f>
        <v>0,6345</v>
      </c>
      <c r="F40" s="23" t="s">
        <v>18</v>
      </c>
      <c r="G40" s="23" t="s">
        <v>19</v>
      </c>
      <c r="H40" s="24" t="s">
        <v>151</v>
      </c>
      <c r="I40" s="24" t="s">
        <v>326</v>
      </c>
      <c r="J40" s="25" t="s">
        <v>62</v>
      </c>
      <c r="K40" s="25"/>
      <c r="L40" s="23" t="str">
        <f>"182,5"</f>
        <v>182,5</v>
      </c>
      <c r="M40" s="24" t="str">
        <f>"115,7963"</f>
        <v>115,7963</v>
      </c>
      <c r="N40" s="23" t="s">
        <v>29</v>
      </c>
    </row>
    <row r="41" spans="1:14" ht="12.75">
      <c r="A41" s="23" t="s">
        <v>360</v>
      </c>
      <c r="B41" s="23" t="s">
        <v>1890</v>
      </c>
      <c r="C41" s="23" t="s">
        <v>361</v>
      </c>
      <c r="D41" s="23" t="s">
        <v>362</v>
      </c>
      <c r="E41" s="23" t="str">
        <f>"0,6349"</f>
        <v>0,6349</v>
      </c>
      <c r="F41" s="23" t="s">
        <v>18</v>
      </c>
      <c r="G41" s="23" t="s">
        <v>19</v>
      </c>
      <c r="H41" s="24" t="s">
        <v>97</v>
      </c>
      <c r="I41" s="24" t="s">
        <v>98</v>
      </c>
      <c r="J41" s="25" t="s">
        <v>225</v>
      </c>
      <c r="K41" s="25"/>
      <c r="L41" s="23" t="str">
        <f>"55,0"</f>
        <v>55,0</v>
      </c>
      <c r="M41" s="24" t="str">
        <f>"34,9195"</f>
        <v>34,9195</v>
      </c>
      <c r="N41" s="23" t="s">
        <v>363</v>
      </c>
    </row>
    <row r="42" spans="1:14" ht="12.75">
      <c r="A42" s="23" t="s">
        <v>364</v>
      </c>
      <c r="B42" s="23" t="s">
        <v>1892</v>
      </c>
      <c r="C42" s="23" t="s">
        <v>365</v>
      </c>
      <c r="D42" s="23" t="s">
        <v>366</v>
      </c>
      <c r="E42" s="23" t="str">
        <f>"0,6108"</f>
        <v>0,6108</v>
      </c>
      <c r="F42" s="23" t="s">
        <v>34</v>
      </c>
      <c r="G42" s="23" t="s">
        <v>367</v>
      </c>
      <c r="H42" s="24" t="s">
        <v>25</v>
      </c>
      <c r="I42" s="24" t="s">
        <v>118</v>
      </c>
      <c r="J42" s="25" t="s">
        <v>197</v>
      </c>
      <c r="K42" s="25"/>
      <c r="L42" s="23" t="str">
        <f>"170,0"</f>
        <v>170,0</v>
      </c>
      <c r="M42" s="24" t="str">
        <f>"105,9127"</f>
        <v>105,9127</v>
      </c>
      <c r="N42" s="23" t="s">
        <v>368</v>
      </c>
    </row>
    <row r="43" spans="1:14" ht="12.75">
      <c r="A43" s="23" t="s">
        <v>369</v>
      </c>
      <c r="B43" s="23" t="s">
        <v>1891</v>
      </c>
      <c r="C43" s="23" t="s">
        <v>370</v>
      </c>
      <c r="D43" s="23" t="s">
        <v>371</v>
      </c>
      <c r="E43" s="23" t="str">
        <f>"0,6161"</f>
        <v>0,6161</v>
      </c>
      <c r="F43" s="26" t="s">
        <v>34</v>
      </c>
      <c r="G43" s="23" t="s">
        <v>372</v>
      </c>
      <c r="H43" s="24" t="s">
        <v>115</v>
      </c>
      <c r="I43" s="24" t="s">
        <v>51</v>
      </c>
      <c r="J43" s="24" t="s">
        <v>197</v>
      </c>
      <c r="K43" s="25"/>
      <c r="L43" s="23" t="str">
        <f>"172,5"</f>
        <v>172,5</v>
      </c>
      <c r="M43" s="24" t="str">
        <f>"114,9920"</f>
        <v>114,9920</v>
      </c>
      <c r="N43" s="23" t="s">
        <v>29</v>
      </c>
    </row>
    <row r="44" spans="1:14" ht="12.75">
      <c r="A44" s="23" t="s">
        <v>373</v>
      </c>
      <c r="B44" s="23" t="s">
        <v>1887</v>
      </c>
      <c r="C44" s="23" t="s">
        <v>374</v>
      </c>
      <c r="D44" s="23" t="s">
        <v>351</v>
      </c>
      <c r="E44" s="23" t="str">
        <f>"0,6086"</f>
        <v>0,6086</v>
      </c>
      <c r="F44" s="23" t="s">
        <v>18</v>
      </c>
      <c r="G44" s="23" t="s">
        <v>19</v>
      </c>
      <c r="H44" s="24" t="s">
        <v>100</v>
      </c>
      <c r="I44" s="24" t="s">
        <v>96</v>
      </c>
      <c r="J44" s="25" t="s">
        <v>39</v>
      </c>
      <c r="K44" s="25"/>
      <c r="L44" s="23" t="str">
        <f>"130,0"</f>
        <v>130,0</v>
      </c>
      <c r="M44" s="24" t="str">
        <f>"83,4695"</f>
        <v>83,4695</v>
      </c>
      <c r="N44" s="23" t="s">
        <v>375</v>
      </c>
    </row>
    <row r="45" spans="1:14" ht="12.75">
      <c r="A45" s="12" t="s">
        <v>377</v>
      </c>
      <c r="B45" s="12" t="s">
        <v>1895</v>
      </c>
      <c r="C45" s="12" t="s">
        <v>378</v>
      </c>
      <c r="D45" s="12" t="s">
        <v>379</v>
      </c>
      <c r="E45" s="12" t="str">
        <f>"0,6152"</f>
        <v>0,6152</v>
      </c>
      <c r="F45" s="12" t="s">
        <v>18</v>
      </c>
      <c r="G45" s="12" t="s">
        <v>19</v>
      </c>
      <c r="H45" s="14" t="s">
        <v>62</v>
      </c>
      <c r="I45" s="13" t="s">
        <v>143</v>
      </c>
      <c r="J45" s="13"/>
      <c r="K45" s="13"/>
      <c r="L45" s="12" t="str">
        <f>"190,0"</f>
        <v>190,0</v>
      </c>
      <c r="M45" s="14" t="str">
        <f>"138,3954"</f>
        <v>138,3954</v>
      </c>
      <c r="N45" s="28" t="s">
        <v>1643</v>
      </c>
    </row>
    <row r="47" spans="1:14" ht="15">
      <c r="A47" s="48" t="s">
        <v>45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2.75">
      <c r="A48" s="9" t="s">
        <v>381</v>
      </c>
      <c r="B48" s="9" t="s">
        <v>1895</v>
      </c>
      <c r="C48" s="9" t="s">
        <v>382</v>
      </c>
      <c r="D48" s="9" t="s">
        <v>383</v>
      </c>
      <c r="E48" s="9" t="str">
        <f>"0,5939"</f>
        <v>0,5939</v>
      </c>
      <c r="F48" s="9" t="s">
        <v>58</v>
      </c>
      <c r="G48" s="9" t="s">
        <v>384</v>
      </c>
      <c r="H48" s="11" t="s">
        <v>60</v>
      </c>
      <c r="I48" s="10" t="s">
        <v>22</v>
      </c>
      <c r="J48" s="10" t="s">
        <v>22</v>
      </c>
      <c r="K48" s="10"/>
      <c r="L48" s="9" t="str">
        <f>"230,0"</f>
        <v>230,0</v>
      </c>
      <c r="M48" s="11" t="str">
        <f>"136,5970"</f>
        <v>136,5970</v>
      </c>
      <c r="N48" s="9" t="s">
        <v>29</v>
      </c>
    </row>
    <row r="49" spans="1:14" ht="12.75">
      <c r="A49" s="23" t="s">
        <v>385</v>
      </c>
      <c r="B49" s="23" t="s">
        <v>1891</v>
      </c>
      <c r="C49" s="23" t="s">
        <v>386</v>
      </c>
      <c r="D49" s="23" t="s">
        <v>387</v>
      </c>
      <c r="E49" s="23" t="str">
        <f>"0,5895"</f>
        <v>0,5895</v>
      </c>
      <c r="F49" s="23" t="s">
        <v>34</v>
      </c>
      <c r="G49" s="23" t="s">
        <v>183</v>
      </c>
      <c r="H49" s="24" t="s">
        <v>20</v>
      </c>
      <c r="I49" s="24" t="s">
        <v>37</v>
      </c>
      <c r="J49" s="25" t="s">
        <v>38</v>
      </c>
      <c r="K49" s="25"/>
      <c r="L49" s="23" t="str">
        <f>"220,0"</f>
        <v>220,0</v>
      </c>
      <c r="M49" s="24" t="str">
        <f>"129,6900"</f>
        <v>129,6900</v>
      </c>
      <c r="N49" s="23" t="s">
        <v>29</v>
      </c>
    </row>
    <row r="50" spans="1:14" ht="12.75">
      <c r="A50" s="23" t="s">
        <v>388</v>
      </c>
      <c r="B50" s="23" t="s">
        <v>1891</v>
      </c>
      <c r="C50" s="23" t="s">
        <v>389</v>
      </c>
      <c r="D50" s="23" t="s">
        <v>390</v>
      </c>
      <c r="E50" s="23" t="str">
        <f>"0,5950"</f>
        <v>0,5950</v>
      </c>
      <c r="F50" s="23" t="s">
        <v>58</v>
      </c>
      <c r="G50" s="23" t="s">
        <v>391</v>
      </c>
      <c r="H50" s="24" t="s">
        <v>62</v>
      </c>
      <c r="I50" s="24" t="s">
        <v>63</v>
      </c>
      <c r="J50" s="24" t="s">
        <v>143</v>
      </c>
      <c r="K50" s="25"/>
      <c r="L50" s="23" t="str">
        <f>"197,5"</f>
        <v>197,5</v>
      </c>
      <c r="M50" s="24" t="str">
        <f>"117,5125"</f>
        <v>117,5125</v>
      </c>
      <c r="N50" s="23" t="s">
        <v>392</v>
      </c>
    </row>
    <row r="51" spans="1:14" ht="12.75">
      <c r="A51" s="23" t="s">
        <v>393</v>
      </c>
      <c r="B51" s="23" t="s">
        <v>1892</v>
      </c>
      <c r="C51" s="23" t="s">
        <v>394</v>
      </c>
      <c r="D51" s="23" t="s">
        <v>395</v>
      </c>
      <c r="E51" s="23" t="str">
        <f>"0,6062"</f>
        <v>0,6062</v>
      </c>
      <c r="F51" s="23" t="s">
        <v>58</v>
      </c>
      <c r="G51" s="23" t="s">
        <v>59</v>
      </c>
      <c r="H51" s="24" t="s">
        <v>62</v>
      </c>
      <c r="I51" s="25" t="s">
        <v>63</v>
      </c>
      <c r="J51" s="25" t="s">
        <v>63</v>
      </c>
      <c r="K51" s="25"/>
      <c r="L51" s="23" t="str">
        <f>"190,0"</f>
        <v>190,0</v>
      </c>
      <c r="M51" s="24" t="str">
        <f>"115,1780"</f>
        <v>115,1780</v>
      </c>
      <c r="N51" s="23" t="s">
        <v>396</v>
      </c>
    </row>
    <row r="52" spans="1:14" ht="12.75">
      <c r="A52" s="23" t="s">
        <v>397</v>
      </c>
      <c r="B52" s="23" t="s">
        <v>1892</v>
      </c>
      <c r="C52" s="23" t="s">
        <v>398</v>
      </c>
      <c r="D52" s="23" t="s">
        <v>399</v>
      </c>
      <c r="E52" s="23" t="str">
        <f>"0,5968"</f>
        <v>0,5968</v>
      </c>
      <c r="F52" s="23" t="s">
        <v>308</v>
      </c>
      <c r="G52" s="23" t="s">
        <v>400</v>
      </c>
      <c r="H52" s="24" t="s">
        <v>151</v>
      </c>
      <c r="I52" s="25" t="s">
        <v>152</v>
      </c>
      <c r="J52" s="25" t="s">
        <v>152</v>
      </c>
      <c r="K52" s="25"/>
      <c r="L52" s="23" t="str">
        <f>"175,0"</f>
        <v>175,0</v>
      </c>
      <c r="M52" s="24" t="str">
        <f>"104,4400"</f>
        <v>104,4400</v>
      </c>
      <c r="N52" s="23" t="s">
        <v>29</v>
      </c>
    </row>
    <row r="53" spans="1:14" ht="12.75">
      <c r="A53" s="23" t="s">
        <v>401</v>
      </c>
      <c r="B53" s="23" t="s">
        <v>1888</v>
      </c>
      <c r="C53" s="23" t="s">
        <v>402</v>
      </c>
      <c r="D53" s="23" t="s">
        <v>403</v>
      </c>
      <c r="E53" s="23" t="str">
        <f>"0,5917"</f>
        <v>0,5917</v>
      </c>
      <c r="F53" s="23" t="s">
        <v>18</v>
      </c>
      <c r="G53" s="23" t="s">
        <v>19</v>
      </c>
      <c r="H53" s="24" t="s">
        <v>25</v>
      </c>
      <c r="I53" s="25" t="s">
        <v>118</v>
      </c>
      <c r="J53" s="25" t="s">
        <v>118</v>
      </c>
      <c r="K53" s="25"/>
      <c r="L53" s="23" t="str">
        <f>"165,0"</f>
        <v>165,0</v>
      </c>
      <c r="M53" s="24" t="str">
        <f>"97,6305"</f>
        <v>97,6305</v>
      </c>
      <c r="N53" s="23"/>
    </row>
    <row r="54" spans="1:14" ht="12.75">
      <c r="A54" s="23" t="s">
        <v>404</v>
      </c>
      <c r="B54" s="23" t="s">
        <v>1891</v>
      </c>
      <c r="C54" s="23" t="s">
        <v>405</v>
      </c>
      <c r="D54" s="23" t="s">
        <v>406</v>
      </c>
      <c r="E54" s="23" t="str">
        <f>"0,5978"</f>
        <v>0,5978</v>
      </c>
      <c r="F54" s="23" t="s">
        <v>18</v>
      </c>
      <c r="G54" s="23" t="s">
        <v>19</v>
      </c>
      <c r="H54" s="25" t="s">
        <v>63</v>
      </c>
      <c r="I54" s="24" t="s">
        <v>143</v>
      </c>
      <c r="J54" s="24" t="s">
        <v>321</v>
      </c>
      <c r="K54" s="25"/>
      <c r="L54" s="23" t="str">
        <f>"205,0"</f>
        <v>205,0</v>
      </c>
      <c r="M54" s="24" t="str">
        <f>"123,7745"</f>
        <v>123,7745</v>
      </c>
      <c r="N54" s="23" t="s">
        <v>29</v>
      </c>
    </row>
    <row r="55" spans="1:14" ht="12.75">
      <c r="A55" s="23" t="s">
        <v>407</v>
      </c>
      <c r="B55" s="23" t="s">
        <v>1890</v>
      </c>
      <c r="C55" s="23" t="s">
        <v>408</v>
      </c>
      <c r="D55" s="23" t="s">
        <v>409</v>
      </c>
      <c r="E55" s="23" t="str">
        <f>"0,5935"</f>
        <v>0,5935</v>
      </c>
      <c r="F55" s="23" t="s">
        <v>18</v>
      </c>
      <c r="G55" s="23" t="s">
        <v>19</v>
      </c>
      <c r="H55" s="25" t="s">
        <v>25</v>
      </c>
      <c r="I55" s="25" t="s">
        <v>118</v>
      </c>
      <c r="J55" s="25" t="s">
        <v>177</v>
      </c>
      <c r="K55" s="25"/>
      <c r="L55" s="23" t="str">
        <f>"0,0"</f>
        <v>0,0</v>
      </c>
      <c r="M55" s="24" t="str">
        <f>"0,0000"</f>
        <v>0,0000</v>
      </c>
      <c r="N55" s="23"/>
    </row>
    <row r="56" spans="1:14" ht="12.75">
      <c r="A56" s="23" t="s">
        <v>410</v>
      </c>
      <c r="B56" s="23" t="s">
        <v>1892</v>
      </c>
      <c r="C56" s="23" t="s">
        <v>411</v>
      </c>
      <c r="D56" s="23" t="s">
        <v>412</v>
      </c>
      <c r="E56" s="23" t="str">
        <f>"0,6041"</f>
        <v>0,6041</v>
      </c>
      <c r="F56" s="23" t="s">
        <v>18</v>
      </c>
      <c r="G56" s="23" t="s">
        <v>19</v>
      </c>
      <c r="H56" s="24" t="s">
        <v>25</v>
      </c>
      <c r="I56" s="25" t="s">
        <v>118</v>
      </c>
      <c r="J56" s="24" t="s">
        <v>197</v>
      </c>
      <c r="K56" s="25"/>
      <c r="L56" s="23" t="str">
        <f>"172,5"</f>
        <v>172,5</v>
      </c>
      <c r="M56" s="24" t="str">
        <f>"114,3154"</f>
        <v>114,3154</v>
      </c>
      <c r="N56" s="23" t="s">
        <v>413</v>
      </c>
    </row>
    <row r="57" spans="1:14" ht="12.75">
      <c r="A57" s="12" t="s">
        <v>414</v>
      </c>
      <c r="B57" s="12" t="s">
        <v>1892</v>
      </c>
      <c r="C57" s="12" t="s">
        <v>415</v>
      </c>
      <c r="D57" s="12" t="s">
        <v>416</v>
      </c>
      <c r="E57" s="12" t="str">
        <f>"0,5937"</f>
        <v>0,5937</v>
      </c>
      <c r="F57" s="12" t="s">
        <v>34</v>
      </c>
      <c r="G57" s="12" t="s">
        <v>417</v>
      </c>
      <c r="H57" s="14" t="s">
        <v>115</v>
      </c>
      <c r="I57" s="14" t="s">
        <v>118</v>
      </c>
      <c r="J57" s="14" t="s">
        <v>197</v>
      </c>
      <c r="K57" s="13"/>
      <c r="L57" s="12" t="str">
        <f>"172,5"</f>
        <v>172,5</v>
      </c>
      <c r="M57" s="14" t="str">
        <f>"112,3473"</f>
        <v>112,3473</v>
      </c>
      <c r="N57" s="12" t="s">
        <v>29</v>
      </c>
    </row>
    <row r="59" spans="1:14" ht="15">
      <c r="A59" s="48" t="s">
        <v>206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ht="12.75">
      <c r="A60" s="9" t="s">
        <v>418</v>
      </c>
      <c r="B60" s="9" t="s">
        <v>1891</v>
      </c>
      <c r="C60" s="9" t="s">
        <v>419</v>
      </c>
      <c r="D60" s="9" t="s">
        <v>420</v>
      </c>
      <c r="E60" s="9" t="str">
        <f>"0,5778"</f>
        <v>0,5778</v>
      </c>
      <c r="F60" s="9" t="s">
        <v>34</v>
      </c>
      <c r="G60" s="9" t="s">
        <v>421</v>
      </c>
      <c r="H60" s="10" t="s">
        <v>321</v>
      </c>
      <c r="I60" s="11" t="s">
        <v>20</v>
      </c>
      <c r="J60" s="11" t="s">
        <v>42</v>
      </c>
      <c r="K60" s="10"/>
      <c r="L60" s="9" t="str">
        <f>"215,0"</f>
        <v>215,0</v>
      </c>
      <c r="M60" s="11" t="str">
        <f>"124,2270"</f>
        <v>124,2270</v>
      </c>
      <c r="N60" s="9"/>
    </row>
    <row r="61" spans="1:14" ht="12.75">
      <c r="A61" s="23" t="s">
        <v>422</v>
      </c>
      <c r="B61" s="23" t="s">
        <v>1891</v>
      </c>
      <c r="C61" s="23" t="s">
        <v>423</v>
      </c>
      <c r="D61" s="23" t="s">
        <v>424</v>
      </c>
      <c r="E61" s="23" t="str">
        <f>"0,5882"</f>
        <v>0,5882</v>
      </c>
      <c r="F61" s="23" t="s">
        <v>34</v>
      </c>
      <c r="G61" s="23" t="s">
        <v>417</v>
      </c>
      <c r="H61" s="24" t="s">
        <v>64</v>
      </c>
      <c r="I61" s="24" t="s">
        <v>36</v>
      </c>
      <c r="J61" s="25" t="s">
        <v>20</v>
      </c>
      <c r="K61" s="25"/>
      <c r="L61" s="23" t="str">
        <f>"207,5"</f>
        <v>207,5</v>
      </c>
      <c r="M61" s="24" t="str">
        <f>"122,0515"</f>
        <v>122,0515</v>
      </c>
      <c r="N61" s="23" t="s">
        <v>425</v>
      </c>
    </row>
    <row r="62" spans="1:14" ht="12.75">
      <c r="A62" s="12" t="s">
        <v>426</v>
      </c>
      <c r="B62" s="12" t="s">
        <v>1891</v>
      </c>
      <c r="C62" s="12" t="s">
        <v>427</v>
      </c>
      <c r="D62" s="12" t="s">
        <v>428</v>
      </c>
      <c r="E62" s="12" t="str">
        <f>"0,5816"</f>
        <v>0,5816</v>
      </c>
      <c r="F62" s="28" t="s">
        <v>34</v>
      </c>
      <c r="G62" s="12" t="s">
        <v>167</v>
      </c>
      <c r="H62" s="14" t="s">
        <v>39</v>
      </c>
      <c r="I62" s="14" t="s">
        <v>50</v>
      </c>
      <c r="J62" s="14" t="s">
        <v>177</v>
      </c>
      <c r="K62" s="13"/>
      <c r="L62" s="12" t="str">
        <f>"187,5"</f>
        <v>187,5</v>
      </c>
      <c r="M62" s="14" t="str">
        <f>"115,0478"</f>
        <v>115,0478</v>
      </c>
      <c r="N62" s="12"/>
    </row>
    <row r="64" ht="15">
      <c r="F64" s="15" t="s">
        <v>74</v>
      </c>
    </row>
    <row r="65" ht="15">
      <c r="F65" s="15" t="s">
        <v>75</v>
      </c>
    </row>
    <row r="66" ht="15">
      <c r="F66" s="15" t="s">
        <v>76</v>
      </c>
    </row>
    <row r="67" ht="15">
      <c r="F67" s="15" t="s">
        <v>77</v>
      </c>
    </row>
    <row r="68" ht="15">
      <c r="F68" s="15" t="s">
        <v>77</v>
      </c>
    </row>
    <row r="69" ht="15">
      <c r="F69" s="15" t="s">
        <v>78</v>
      </c>
    </row>
    <row r="70" ht="15">
      <c r="F70" s="15"/>
    </row>
    <row r="72" spans="1:3" ht="18">
      <c r="A72" s="16" t="s">
        <v>79</v>
      </c>
      <c r="B72" s="16"/>
      <c r="C72" s="16"/>
    </row>
    <row r="73" spans="1:3" ht="15">
      <c r="A73" s="17" t="s">
        <v>80</v>
      </c>
      <c r="B73" s="17"/>
      <c r="C73" s="17"/>
    </row>
    <row r="74" spans="1:3" ht="14.25">
      <c r="A74" s="19"/>
      <c r="B74" s="19"/>
      <c r="C74" s="20" t="s">
        <v>81</v>
      </c>
    </row>
    <row r="75" spans="1:6" ht="15">
      <c r="A75" s="21" t="s">
        <v>82</v>
      </c>
      <c r="B75" s="21"/>
      <c r="C75" s="21" t="s">
        <v>83</v>
      </c>
      <c r="D75" s="21" t="s">
        <v>84</v>
      </c>
      <c r="E75" s="21" t="s">
        <v>85</v>
      </c>
      <c r="F75" s="21" t="s">
        <v>86</v>
      </c>
    </row>
    <row r="76" spans="1:6" ht="12.75">
      <c r="A76" s="18" t="s">
        <v>317</v>
      </c>
      <c r="B76" s="18"/>
      <c r="C76" s="5" t="s">
        <v>81</v>
      </c>
      <c r="D76" s="5" t="s">
        <v>232</v>
      </c>
      <c r="E76" s="5" t="s">
        <v>37</v>
      </c>
      <c r="F76" s="22" t="s">
        <v>429</v>
      </c>
    </row>
    <row r="77" spans="1:6" ht="12.75">
      <c r="A77" s="18" t="s">
        <v>380</v>
      </c>
      <c r="B77" s="18"/>
      <c r="C77" s="5" t="s">
        <v>81</v>
      </c>
      <c r="D77" s="5" t="s">
        <v>90</v>
      </c>
      <c r="E77" s="5" t="s">
        <v>60</v>
      </c>
      <c r="F77" s="22" t="s">
        <v>430</v>
      </c>
    </row>
    <row r="78" spans="1:6" ht="12.75">
      <c r="A78" s="18" t="s">
        <v>339</v>
      </c>
      <c r="B78" s="18"/>
      <c r="C78" s="5" t="s">
        <v>81</v>
      </c>
      <c r="D78" s="5" t="s">
        <v>91</v>
      </c>
      <c r="E78" s="5" t="s">
        <v>37</v>
      </c>
      <c r="F78" s="22" t="s">
        <v>431</v>
      </c>
    </row>
    <row r="80" spans="1:3" ht="14.25">
      <c r="A80" s="19"/>
      <c r="B80" s="19"/>
      <c r="C80" s="20" t="s">
        <v>233</v>
      </c>
    </row>
    <row r="81" spans="1:6" ht="15">
      <c r="A81" s="21" t="s">
        <v>82</v>
      </c>
      <c r="B81" s="21"/>
      <c r="C81" s="21" t="s">
        <v>83</v>
      </c>
      <c r="D81" s="21" t="s">
        <v>84</v>
      </c>
      <c r="E81" s="21" t="s">
        <v>85</v>
      </c>
      <c r="F81" s="21" t="s">
        <v>86</v>
      </c>
    </row>
    <row r="82" spans="1:6" ht="12.75">
      <c r="A82" s="18" t="s">
        <v>376</v>
      </c>
      <c r="B82" s="18"/>
      <c r="C82" s="5" t="s">
        <v>245</v>
      </c>
      <c r="D82" s="5" t="s">
        <v>91</v>
      </c>
      <c r="E82" s="5" t="s">
        <v>62</v>
      </c>
      <c r="F82" s="22" t="s">
        <v>432</v>
      </c>
    </row>
  </sheetData>
  <sheetProtection/>
  <mergeCells count="20">
    <mergeCell ref="A47:N47"/>
    <mergeCell ref="A35:N35"/>
    <mergeCell ref="A59:N59"/>
    <mergeCell ref="A27:N27"/>
    <mergeCell ref="A21:N21"/>
    <mergeCell ref="A16:N16"/>
    <mergeCell ref="A11:N11"/>
    <mergeCell ref="A5:N5"/>
    <mergeCell ref="A1:N2"/>
    <mergeCell ref="N3:N4"/>
    <mergeCell ref="A3:A4"/>
    <mergeCell ref="C3:C4"/>
    <mergeCell ref="D3:D4"/>
    <mergeCell ref="E3:E4"/>
    <mergeCell ref="F3:F4"/>
    <mergeCell ref="L3:L4"/>
    <mergeCell ref="M3:M4"/>
    <mergeCell ref="G3:G4"/>
    <mergeCell ref="H3:K3"/>
    <mergeCell ref="B3:B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zoomScale="90" zoomScaleNormal="90"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25390625" style="5" customWidth="1"/>
    <col min="3" max="3" width="22.87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28.00390625" style="5" bestFit="1" customWidth="1"/>
    <col min="8" max="10" width="5.625" style="4" bestFit="1" customWidth="1"/>
    <col min="11" max="11" width="4.875" style="4" bestFit="1" customWidth="1"/>
    <col min="12" max="12" width="11.375" style="5" customWidth="1"/>
    <col min="13" max="13" width="8.625" style="4" bestFit="1" customWidth="1"/>
    <col min="14" max="14" width="13.125" style="5" bestFit="1" customWidth="1"/>
    <col min="15" max="16384" width="9.125" style="4" customWidth="1"/>
  </cols>
  <sheetData>
    <row r="1" spans="1:14" s="3" customFormat="1" ht="28.5" customHeight="1">
      <c r="A1" s="38" t="s">
        <v>1642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2</v>
      </c>
      <c r="I3" s="30"/>
      <c r="J3" s="30"/>
      <c r="K3" s="30"/>
      <c r="L3" s="30" t="s">
        <v>433</v>
      </c>
      <c r="M3" s="30" t="s">
        <v>6</v>
      </c>
      <c r="N3" s="32" t="s">
        <v>5</v>
      </c>
    </row>
    <row r="4" spans="1:14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31"/>
      <c r="M4" s="31"/>
      <c r="N4" s="33"/>
    </row>
    <row r="5" spans="1:14" ht="15">
      <c r="A5" s="49" t="s">
        <v>128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6" t="s">
        <v>434</v>
      </c>
      <c r="B6" s="6" t="s">
        <v>1891</v>
      </c>
      <c r="C6" s="6" t="s">
        <v>435</v>
      </c>
      <c r="D6" s="6" t="s">
        <v>131</v>
      </c>
      <c r="E6" s="6" t="str">
        <f>"0,9621"</f>
        <v>0,9621</v>
      </c>
      <c r="F6" s="6" t="s">
        <v>34</v>
      </c>
      <c r="G6" s="6" t="s">
        <v>334</v>
      </c>
      <c r="H6" s="8" t="s">
        <v>90</v>
      </c>
      <c r="I6" s="7" t="s">
        <v>90</v>
      </c>
      <c r="J6" s="8" t="s">
        <v>254</v>
      </c>
      <c r="K6" s="8"/>
      <c r="L6" s="6" t="str">
        <f>"110,0"</f>
        <v>110,0</v>
      </c>
      <c r="M6" s="7" t="str">
        <f>"105,8310"</f>
        <v>105,8310</v>
      </c>
      <c r="N6" s="6" t="s">
        <v>436</v>
      </c>
    </row>
    <row r="8" spans="1:14" ht="15">
      <c r="A8" s="48" t="s">
        <v>30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2.75">
      <c r="A9" s="6" t="s">
        <v>437</v>
      </c>
      <c r="B9" s="6" t="s">
        <v>1890</v>
      </c>
      <c r="C9" s="6" t="s">
        <v>438</v>
      </c>
      <c r="D9" s="6" t="s">
        <v>439</v>
      </c>
      <c r="E9" s="6" t="str">
        <f>"0,6118"</f>
        <v>0,6118</v>
      </c>
      <c r="F9" s="6" t="s">
        <v>18</v>
      </c>
      <c r="G9" s="6" t="s">
        <v>19</v>
      </c>
      <c r="H9" s="8" t="s">
        <v>37</v>
      </c>
      <c r="I9" s="8" t="s">
        <v>37</v>
      </c>
      <c r="J9" s="8" t="s">
        <v>37</v>
      </c>
      <c r="K9" s="8"/>
      <c r="L9" s="6" t="str">
        <f>"0,0"</f>
        <v>0,0</v>
      </c>
      <c r="M9" s="7" t="str">
        <f>"0,0000"</f>
        <v>0,0000</v>
      </c>
      <c r="N9" s="6" t="s">
        <v>440</v>
      </c>
    </row>
    <row r="11" ht="15">
      <c r="F11" s="15" t="s">
        <v>74</v>
      </c>
    </row>
    <row r="12" ht="15">
      <c r="F12" s="15" t="s">
        <v>75</v>
      </c>
    </row>
    <row r="13" ht="15">
      <c r="F13" s="15" t="s">
        <v>76</v>
      </c>
    </row>
    <row r="14" ht="15">
      <c r="F14" s="15" t="s">
        <v>77</v>
      </c>
    </row>
    <row r="15" ht="15">
      <c r="F15" s="15" t="s">
        <v>77</v>
      </c>
    </row>
    <row r="16" ht="15">
      <c r="F16" s="15" t="s">
        <v>78</v>
      </c>
    </row>
    <row r="17" ht="15">
      <c r="F17" s="15"/>
    </row>
  </sheetData>
  <sheetProtection/>
  <mergeCells count="14">
    <mergeCell ref="A1:N2"/>
    <mergeCell ref="L3:L4"/>
    <mergeCell ref="M3:M4"/>
    <mergeCell ref="N3:N4"/>
    <mergeCell ref="B3:B4"/>
    <mergeCell ref="A5:N5"/>
    <mergeCell ref="A8:N8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0"/>
  <sheetViews>
    <sheetView zoomScale="90" zoomScaleNormal="90"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25390625" style="5" customWidth="1"/>
    <col min="3" max="3" width="22.87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0.25390625" style="5" bestFit="1" customWidth="1"/>
    <col min="8" max="10" width="5.625" style="4" bestFit="1" customWidth="1"/>
    <col min="11" max="11" width="4.875" style="4" bestFit="1" customWidth="1"/>
    <col min="12" max="12" width="11.625" style="5" customWidth="1"/>
    <col min="13" max="13" width="8.625" style="4" bestFit="1" customWidth="1"/>
    <col min="14" max="14" width="12.875" style="5" bestFit="1" customWidth="1"/>
    <col min="15" max="16384" width="9.125" style="4" customWidth="1"/>
  </cols>
  <sheetData>
    <row r="1" spans="1:14" s="3" customFormat="1" ht="28.5" customHeight="1">
      <c r="A1" s="38" t="s">
        <v>1641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2</v>
      </c>
      <c r="I3" s="30"/>
      <c r="J3" s="30"/>
      <c r="K3" s="30"/>
      <c r="L3" s="30" t="s">
        <v>433</v>
      </c>
      <c r="M3" s="30" t="s">
        <v>6</v>
      </c>
      <c r="N3" s="32" t="s">
        <v>5</v>
      </c>
    </row>
    <row r="4" spans="1:14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31"/>
      <c r="M4" s="31"/>
      <c r="N4" s="33"/>
    </row>
    <row r="5" spans="1:14" ht="15">
      <c r="A5" s="49" t="s">
        <v>155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6" t="s">
        <v>441</v>
      </c>
      <c r="B6" s="6" t="s">
        <v>1895</v>
      </c>
      <c r="C6" s="6" t="s">
        <v>442</v>
      </c>
      <c r="D6" s="6" t="s">
        <v>443</v>
      </c>
      <c r="E6" s="6" t="str">
        <f>"0,6499"</f>
        <v>0,6499</v>
      </c>
      <c r="F6" s="6" t="s">
        <v>34</v>
      </c>
      <c r="G6" s="6" t="s">
        <v>352</v>
      </c>
      <c r="H6" s="7" t="s">
        <v>27</v>
      </c>
      <c r="I6" s="7" t="s">
        <v>28</v>
      </c>
      <c r="J6" s="8" t="s">
        <v>444</v>
      </c>
      <c r="K6" s="8"/>
      <c r="L6" s="6" t="str">
        <f>"255,0"</f>
        <v>255,0</v>
      </c>
      <c r="M6" s="7" t="str">
        <f>"165,7245"</f>
        <v>165,7245</v>
      </c>
      <c r="N6" s="6"/>
    </row>
    <row r="8" spans="1:14" ht="15">
      <c r="A8" s="48" t="s">
        <v>45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2.75">
      <c r="A9" s="6" t="s">
        <v>445</v>
      </c>
      <c r="B9" s="6" t="s">
        <v>1892</v>
      </c>
      <c r="C9" s="6" t="s">
        <v>446</v>
      </c>
      <c r="D9" s="6" t="s">
        <v>57</v>
      </c>
      <c r="E9" s="6" t="str">
        <f>"0,5892"</f>
        <v>0,5892</v>
      </c>
      <c r="F9" s="6" t="s">
        <v>34</v>
      </c>
      <c r="G9" s="6" t="s">
        <v>334</v>
      </c>
      <c r="H9" s="7" t="s">
        <v>26</v>
      </c>
      <c r="I9" s="8" t="s">
        <v>27</v>
      </c>
      <c r="J9" s="8" t="s">
        <v>43</v>
      </c>
      <c r="K9" s="8"/>
      <c r="L9" s="6" t="str">
        <f>"235,0"</f>
        <v>235,0</v>
      </c>
      <c r="M9" s="7" t="str">
        <f>"138,4620"</f>
        <v>138,4620</v>
      </c>
      <c r="N9" s="6" t="s">
        <v>447</v>
      </c>
    </row>
    <row r="11" spans="1:14" ht="15">
      <c r="A11" s="48" t="s">
        <v>206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2.75">
      <c r="A12" s="6" t="s">
        <v>448</v>
      </c>
      <c r="B12" s="6" t="s">
        <v>1890</v>
      </c>
      <c r="C12" s="6" t="s">
        <v>449</v>
      </c>
      <c r="D12" s="6" t="s">
        <v>450</v>
      </c>
      <c r="E12" s="6" t="str">
        <f>"0,5820"</f>
        <v>0,5820</v>
      </c>
      <c r="F12" s="6" t="s">
        <v>34</v>
      </c>
      <c r="G12" s="6" t="s">
        <v>167</v>
      </c>
      <c r="H12" s="8" t="s">
        <v>161</v>
      </c>
      <c r="I12" s="8" t="s">
        <v>162</v>
      </c>
      <c r="J12" s="8" t="s">
        <v>451</v>
      </c>
      <c r="K12" s="8"/>
      <c r="L12" s="6" t="str">
        <f>"0,0"</f>
        <v>0,0</v>
      </c>
      <c r="M12" s="7" t="str">
        <f>"0,0000"</f>
        <v>0,0000</v>
      </c>
      <c r="N12" s="6" t="s">
        <v>452</v>
      </c>
    </row>
    <row r="14" ht="15">
      <c r="F14" s="15" t="s">
        <v>74</v>
      </c>
    </row>
    <row r="15" ht="15">
      <c r="F15" s="15" t="s">
        <v>75</v>
      </c>
    </row>
    <row r="16" ht="15">
      <c r="F16" s="15" t="s">
        <v>76</v>
      </c>
    </row>
    <row r="17" ht="15">
      <c r="F17" s="15" t="s">
        <v>77</v>
      </c>
    </row>
    <row r="18" ht="15">
      <c r="F18" s="15" t="s">
        <v>77</v>
      </c>
    </row>
    <row r="19" ht="15">
      <c r="F19" s="15" t="s">
        <v>78</v>
      </c>
    </row>
    <row r="20" ht="15">
      <c r="F20" s="15"/>
    </row>
  </sheetData>
  <sheetProtection/>
  <mergeCells count="15">
    <mergeCell ref="A11:N11"/>
    <mergeCell ref="A8:N8"/>
    <mergeCell ref="A5:N5"/>
    <mergeCell ref="G3:G4"/>
    <mergeCell ref="H3:K3"/>
    <mergeCell ref="L3:L4"/>
    <mergeCell ref="M3:M4"/>
    <mergeCell ref="A1:N2"/>
    <mergeCell ref="B3:B4"/>
    <mergeCell ref="N3:N4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8"/>
  <sheetViews>
    <sheetView zoomScale="80" zoomScaleNormal="80"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625" style="5" customWidth="1"/>
    <col min="3" max="3" width="29.75390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1.125" style="5" bestFit="1" customWidth="1"/>
    <col min="8" max="11" width="5.625" style="4" bestFit="1" customWidth="1"/>
    <col min="12" max="12" width="11.25390625" style="5" customWidth="1"/>
    <col min="13" max="13" width="8.625" style="4" bestFit="1" customWidth="1"/>
    <col min="14" max="14" width="14.375" style="5" bestFit="1" customWidth="1"/>
    <col min="15" max="16384" width="9.125" style="4" customWidth="1"/>
  </cols>
  <sheetData>
    <row r="1" spans="1:14" s="3" customFormat="1" ht="28.5" customHeight="1">
      <c r="A1" s="38" t="s">
        <v>1640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3</v>
      </c>
      <c r="I3" s="30"/>
      <c r="J3" s="30"/>
      <c r="K3" s="30"/>
      <c r="L3" s="30" t="s">
        <v>433</v>
      </c>
      <c r="M3" s="30" t="s">
        <v>6</v>
      </c>
      <c r="N3" s="32" t="s">
        <v>5</v>
      </c>
    </row>
    <row r="4" spans="1:14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31"/>
      <c r="M4" s="31"/>
      <c r="N4" s="33"/>
    </row>
    <row r="5" spans="1:14" ht="15">
      <c r="A5" s="49" t="s">
        <v>92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6" t="s">
        <v>453</v>
      </c>
      <c r="B6" s="6" t="s">
        <v>1888</v>
      </c>
      <c r="C6" s="6" t="s">
        <v>454</v>
      </c>
      <c r="D6" s="6" t="s">
        <v>455</v>
      </c>
      <c r="E6" s="6" t="str">
        <f>"1,1766"</f>
        <v>1,1766</v>
      </c>
      <c r="F6" s="6" t="s">
        <v>18</v>
      </c>
      <c r="G6" s="6" t="s">
        <v>19</v>
      </c>
      <c r="H6" s="7" t="s">
        <v>91</v>
      </c>
      <c r="I6" s="7" t="s">
        <v>221</v>
      </c>
      <c r="J6" s="7" t="s">
        <v>222</v>
      </c>
      <c r="K6" s="8"/>
      <c r="L6" s="6" t="str">
        <f>"115,0"</f>
        <v>115,0</v>
      </c>
      <c r="M6" s="7" t="str">
        <f>"135,3090"</f>
        <v>135,3090</v>
      </c>
      <c r="N6" s="6" t="s">
        <v>102</v>
      </c>
    </row>
    <row r="8" spans="1:14" ht="15">
      <c r="A8" s="48" t="s">
        <v>103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2.75">
      <c r="A9" s="6" t="s">
        <v>456</v>
      </c>
      <c r="B9" s="6" t="s">
        <v>1896</v>
      </c>
      <c r="C9" s="6" t="s">
        <v>457</v>
      </c>
      <c r="D9" s="6" t="s">
        <v>458</v>
      </c>
      <c r="E9" s="6" t="str">
        <f>"1,1310"</f>
        <v>1,1310</v>
      </c>
      <c r="F9" s="6" t="s">
        <v>18</v>
      </c>
      <c r="G9" s="6" t="s">
        <v>19</v>
      </c>
      <c r="H9" s="7" t="s">
        <v>281</v>
      </c>
      <c r="I9" s="7" t="s">
        <v>282</v>
      </c>
      <c r="J9" s="8" t="s">
        <v>275</v>
      </c>
      <c r="K9" s="8"/>
      <c r="L9" s="6" t="str">
        <f>"85,0"</f>
        <v>85,0</v>
      </c>
      <c r="M9" s="7" t="str">
        <f>"96,1350"</f>
        <v>96,1350</v>
      </c>
      <c r="N9" s="6" t="s">
        <v>363</v>
      </c>
    </row>
    <row r="11" spans="1:14" ht="15">
      <c r="A11" s="48" t="s">
        <v>110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2.75">
      <c r="A12" s="9" t="s">
        <v>459</v>
      </c>
      <c r="B12" s="9" t="s">
        <v>1891</v>
      </c>
      <c r="C12" s="9" t="s">
        <v>460</v>
      </c>
      <c r="D12" s="9" t="s">
        <v>461</v>
      </c>
      <c r="E12" s="9" t="str">
        <f>"1,0479"</f>
        <v>1,0479</v>
      </c>
      <c r="F12" s="9" t="s">
        <v>18</v>
      </c>
      <c r="G12" s="9" t="s">
        <v>19</v>
      </c>
      <c r="H12" s="11" t="s">
        <v>114</v>
      </c>
      <c r="I12" s="11" t="s">
        <v>115</v>
      </c>
      <c r="J12" s="11" t="s">
        <v>25</v>
      </c>
      <c r="K12" s="10" t="s">
        <v>197</v>
      </c>
      <c r="L12" s="9" t="str">
        <f>"165,0"</f>
        <v>165,0</v>
      </c>
      <c r="M12" s="11" t="str">
        <f>"172,9035"</f>
        <v>172,9035</v>
      </c>
      <c r="N12" s="9" t="s">
        <v>119</v>
      </c>
    </row>
    <row r="13" spans="1:14" ht="12.75">
      <c r="A13" s="23" t="s">
        <v>462</v>
      </c>
      <c r="B13" s="23" t="s">
        <v>1891</v>
      </c>
      <c r="C13" s="23" t="s">
        <v>463</v>
      </c>
      <c r="D13" s="23" t="s">
        <v>464</v>
      </c>
      <c r="E13" s="23" t="str">
        <f>"1,0503"</f>
        <v>1,0503</v>
      </c>
      <c r="F13" s="23" t="s">
        <v>18</v>
      </c>
      <c r="G13" s="23" t="s">
        <v>19</v>
      </c>
      <c r="H13" s="25" t="s">
        <v>114</v>
      </c>
      <c r="I13" s="24" t="s">
        <v>114</v>
      </c>
      <c r="J13" s="24" t="s">
        <v>115</v>
      </c>
      <c r="K13" s="25"/>
      <c r="L13" s="23" t="str">
        <f>"160,0"</f>
        <v>160,0</v>
      </c>
      <c r="M13" s="24" t="str">
        <f>"168,0480"</f>
        <v>168,0480</v>
      </c>
      <c r="N13" s="23" t="s">
        <v>119</v>
      </c>
    </row>
    <row r="14" spans="1:14" ht="12.75">
      <c r="A14" s="23" t="s">
        <v>465</v>
      </c>
      <c r="B14" s="23" t="s">
        <v>1888</v>
      </c>
      <c r="C14" s="23" t="s">
        <v>265</v>
      </c>
      <c r="D14" s="23" t="s">
        <v>266</v>
      </c>
      <c r="E14" s="23" t="str">
        <f>"1,0261"</f>
        <v>1,0261</v>
      </c>
      <c r="F14" s="23" t="s">
        <v>18</v>
      </c>
      <c r="G14" s="23" t="s">
        <v>19</v>
      </c>
      <c r="H14" s="24" t="s">
        <v>100</v>
      </c>
      <c r="I14" s="24" t="s">
        <v>96</v>
      </c>
      <c r="J14" s="25" t="s">
        <v>39</v>
      </c>
      <c r="K14" s="25"/>
      <c r="L14" s="23" t="str">
        <f>"130,0"</f>
        <v>130,0</v>
      </c>
      <c r="M14" s="24" t="str">
        <f>"133,3930"</f>
        <v>133,3930</v>
      </c>
      <c r="N14" s="23" t="s">
        <v>267</v>
      </c>
    </row>
    <row r="15" spans="1:14" ht="12.75">
      <c r="A15" s="12" t="s">
        <v>466</v>
      </c>
      <c r="B15" s="12" t="s">
        <v>1887</v>
      </c>
      <c r="C15" s="12" t="s">
        <v>467</v>
      </c>
      <c r="D15" s="12" t="s">
        <v>468</v>
      </c>
      <c r="E15" s="12" t="str">
        <f>"1,0858"</f>
        <v>1,0858</v>
      </c>
      <c r="F15" s="12" t="s">
        <v>18</v>
      </c>
      <c r="G15" s="12" t="s">
        <v>19</v>
      </c>
      <c r="H15" s="14" t="s">
        <v>232</v>
      </c>
      <c r="I15" s="14" t="s">
        <v>134</v>
      </c>
      <c r="J15" s="14" t="s">
        <v>222</v>
      </c>
      <c r="K15" s="13"/>
      <c r="L15" s="12" t="str">
        <f>"115,0"</f>
        <v>115,0</v>
      </c>
      <c r="M15" s="14" t="str">
        <f>"124,8670"</f>
        <v>124,8670</v>
      </c>
      <c r="N15" s="12" t="s">
        <v>102</v>
      </c>
    </row>
    <row r="17" spans="1:14" ht="15">
      <c r="A17" s="48" t="s">
        <v>128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2.75">
      <c r="A18" s="9" t="s">
        <v>470</v>
      </c>
      <c r="B18" s="9" t="s">
        <v>1895</v>
      </c>
      <c r="C18" s="9" t="s">
        <v>471</v>
      </c>
      <c r="D18" s="9" t="s">
        <v>472</v>
      </c>
      <c r="E18" s="9" t="str">
        <f>"0,9834"</f>
        <v>0,9834</v>
      </c>
      <c r="F18" s="9" t="s">
        <v>18</v>
      </c>
      <c r="G18" s="9" t="s">
        <v>19</v>
      </c>
      <c r="H18" s="11" t="s">
        <v>62</v>
      </c>
      <c r="I18" s="11" t="s">
        <v>64</v>
      </c>
      <c r="J18" s="11" t="s">
        <v>20</v>
      </c>
      <c r="K18" s="10" t="s">
        <v>37</v>
      </c>
      <c r="L18" s="9" t="str">
        <f>"210,0"</f>
        <v>210,0</v>
      </c>
      <c r="M18" s="11" t="str">
        <f>"206,5140"</f>
        <v>206,5140</v>
      </c>
      <c r="N18" s="9" t="s">
        <v>119</v>
      </c>
    </row>
    <row r="19" spans="1:14" ht="12.75">
      <c r="A19" s="12" t="s">
        <v>473</v>
      </c>
      <c r="B19" s="12" t="s">
        <v>1888</v>
      </c>
      <c r="C19" s="12" t="s">
        <v>474</v>
      </c>
      <c r="D19" s="12" t="s">
        <v>475</v>
      </c>
      <c r="E19" s="12" t="str">
        <f>"0,9788"</f>
        <v>0,9788</v>
      </c>
      <c r="F19" s="12" t="s">
        <v>18</v>
      </c>
      <c r="G19" s="12" t="s">
        <v>19</v>
      </c>
      <c r="H19" s="14" t="s">
        <v>90</v>
      </c>
      <c r="I19" s="14" t="s">
        <v>100</v>
      </c>
      <c r="J19" s="14" t="s">
        <v>96</v>
      </c>
      <c r="K19" s="13"/>
      <c r="L19" s="12" t="str">
        <f>"130,0"</f>
        <v>130,0</v>
      </c>
      <c r="M19" s="14" t="str">
        <f>"127,2440"</f>
        <v>127,2440</v>
      </c>
      <c r="N19" s="12" t="s">
        <v>119</v>
      </c>
    </row>
    <row r="21" spans="1:14" ht="15">
      <c r="A21" s="48" t="s">
        <v>128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2.75">
      <c r="A22" s="9" t="s">
        <v>476</v>
      </c>
      <c r="B22" s="9" t="s">
        <v>1888</v>
      </c>
      <c r="C22" s="9" t="s">
        <v>477</v>
      </c>
      <c r="D22" s="9" t="s">
        <v>478</v>
      </c>
      <c r="E22" s="9" t="str">
        <f>"0,7173"</f>
        <v>0,7173</v>
      </c>
      <c r="F22" s="9" t="s">
        <v>479</v>
      </c>
      <c r="G22" s="9" t="s">
        <v>480</v>
      </c>
      <c r="H22" s="11" t="s">
        <v>64</v>
      </c>
      <c r="I22" s="10" t="s">
        <v>20</v>
      </c>
      <c r="J22" s="10" t="s">
        <v>20</v>
      </c>
      <c r="K22" s="10"/>
      <c r="L22" s="9" t="str">
        <f>"200,0"</f>
        <v>200,0</v>
      </c>
      <c r="M22" s="11" t="str">
        <f>"143,4600"</f>
        <v>143,4600</v>
      </c>
      <c r="N22" s="9" t="s">
        <v>29</v>
      </c>
    </row>
    <row r="23" spans="1:14" ht="12.75">
      <c r="A23" s="12" t="s">
        <v>293</v>
      </c>
      <c r="B23" s="12" t="s">
        <v>1889</v>
      </c>
      <c r="C23" s="12" t="s">
        <v>294</v>
      </c>
      <c r="D23" s="12" t="s">
        <v>295</v>
      </c>
      <c r="E23" s="12" t="str">
        <f>"0,7126"</f>
        <v>0,7126</v>
      </c>
      <c r="F23" s="12" t="s">
        <v>18</v>
      </c>
      <c r="G23" s="12" t="s">
        <v>19</v>
      </c>
      <c r="H23" s="14" t="s">
        <v>100</v>
      </c>
      <c r="I23" s="13" t="s">
        <v>96</v>
      </c>
      <c r="J23" s="14" t="s">
        <v>96</v>
      </c>
      <c r="K23" s="13"/>
      <c r="L23" s="12" t="str">
        <f>"130,0"</f>
        <v>130,0</v>
      </c>
      <c r="M23" s="14" t="str">
        <f>"107,9233"</f>
        <v>107,9233</v>
      </c>
      <c r="N23" s="12"/>
    </row>
    <row r="25" spans="1:14" ht="15">
      <c r="A25" s="48" t="s">
        <v>13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12.75">
      <c r="A26" s="9" t="s">
        <v>482</v>
      </c>
      <c r="B26" s="9" t="s">
        <v>1895</v>
      </c>
      <c r="C26" s="9" t="s">
        <v>483</v>
      </c>
      <c r="D26" s="9" t="s">
        <v>484</v>
      </c>
      <c r="E26" s="9" t="str">
        <f>"0,6724"</f>
        <v>0,6724</v>
      </c>
      <c r="F26" s="9" t="s">
        <v>485</v>
      </c>
      <c r="G26" s="9" t="s">
        <v>486</v>
      </c>
      <c r="H26" s="11" t="s">
        <v>487</v>
      </c>
      <c r="I26" s="11" t="s">
        <v>178</v>
      </c>
      <c r="J26" s="11" t="s">
        <v>162</v>
      </c>
      <c r="K26" s="10"/>
      <c r="L26" s="9" t="str">
        <f>"295,0"</f>
        <v>295,0</v>
      </c>
      <c r="M26" s="11" t="str">
        <f>"198,3580"</f>
        <v>198,3580</v>
      </c>
      <c r="N26" s="9" t="s">
        <v>29</v>
      </c>
    </row>
    <row r="27" spans="1:14" ht="12.75">
      <c r="A27" s="23" t="s">
        <v>488</v>
      </c>
      <c r="B27" s="23" t="s">
        <v>1888</v>
      </c>
      <c r="C27" s="23" t="s">
        <v>489</v>
      </c>
      <c r="D27" s="23" t="s">
        <v>490</v>
      </c>
      <c r="E27" s="23" t="str">
        <f>"0,6764"</f>
        <v>0,6764</v>
      </c>
      <c r="F27" s="23" t="s">
        <v>34</v>
      </c>
      <c r="G27" s="23" t="s">
        <v>491</v>
      </c>
      <c r="H27" s="24" t="s">
        <v>321</v>
      </c>
      <c r="I27" s="24" t="s">
        <v>153</v>
      </c>
      <c r="J27" s="25" t="s">
        <v>37</v>
      </c>
      <c r="K27" s="25"/>
      <c r="L27" s="23" t="str">
        <f>"212,5"</f>
        <v>212,5</v>
      </c>
      <c r="M27" s="24" t="str">
        <f>"143,7350"</f>
        <v>143,7350</v>
      </c>
      <c r="N27" s="23" t="s">
        <v>29</v>
      </c>
    </row>
    <row r="28" spans="1:14" ht="12.75">
      <c r="A28" s="12" t="s">
        <v>492</v>
      </c>
      <c r="B28" s="12" t="s">
        <v>1888</v>
      </c>
      <c r="C28" s="12" t="s">
        <v>493</v>
      </c>
      <c r="D28" s="12" t="s">
        <v>494</v>
      </c>
      <c r="E28" s="12" t="str">
        <f>"0,6754"</f>
        <v>0,6754</v>
      </c>
      <c r="F28" s="12" t="s">
        <v>18</v>
      </c>
      <c r="G28" s="12" t="s">
        <v>19</v>
      </c>
      <c r="H28" s="14" t="s">
        <v>20</v>
      </c>
      <c r="I28" s="13" t="s">
        <v>37</v>
      </c>
      <c r="J28" s="13" t="s">
        <v>168</v>
      </c>
      <c r="K28" s="13"/>
      <c r="L28" s="12" t="str">
        <f>"210,0"</f>
        <v>210,0</v>
      </c>
      <c r="M28" s="14" t="str">
        <f>"141,8340"</f>
        <v>141,8340</v>
      </c>
      <c r="N28" s="12" t="s">
        <v>495</v>
      </c>
    </row>
    <row r="30" spans="1:14" ht="15">
      <c r="A30" s="48" t="s">
        <v>155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2.75">
      <c r="A31" s="9" t="s">
        <v>496</v>
      </c>
      <c r="B31" s="9" t="s">
        <v>1889</v>
      </c>
      <c r="C31" s="9" t="s">
        <v>497</v>
      </c>
      <c r="D31" s="9" t="s">
        <v>498</v>
      </c>
      <c r="E31" s="9" t="str">
        <f>"0,6479"</f>
        <v>0,6479</v>
      </c>
      <c r="F31" s="9" t="s">
        <v>18</v>
      </c>
      <c r="G31" s="9" t="s">
        <v>19</v>
      </c>
      <c r="H31" s="10" t="s">
        <v>118</v>
      </c>
      <c r="I31" s="11" t="s">
        <v>151</v>
      </c>
      <c r="J31" s="11" t="s">
        <v>61</v>
      </c>
      <c r="K31" s="10"/>
      <c r="L31" s="9" t="str">
        <f>"180,0"</f>
        <v>180,0</v>
      </c>
      <c r="M31" s="11" t="str">
        <f>"116,6220"</f>
        <v>116,6220</v>
      </c>
      <c r="N31" s="9"/>
    </row>
    <row r="32" spans="1:14" ht="12.75">
      <c r="A32" s="12" t="s">
        <v>499</v>
      </c>
      <c r="B32" s="12" t="s">
        <v>1889</v>
      </c>
      <c r="C32" s="12" t="s">
        <v>500</v>
      </c>
      <c r="D32" s="12" t="s">
        <v>501</v>
      </c>
      <c r="E32" s="12" t="str">
        <f>"0,6685"</f>
        <v>0,6685</v>
      </c>
      <c r="F32" s="12" t="s">
        <v>18</v>
      </c>
      <c r="G32" s="12" t="s">
        <v>19</v>
      </c>
      <c r="H32" s="14" t="s">
        <v>151</v>
      </c>
      <c r="I32" s="13" t="s">
        <v>152</v>
      </c>
      <c r="J32" s="13"/>
      <c r="K32" s="13"/>
      <c r="L32" s="12" t="str">
        <f>"175,0"</f>
        <v>175,0</v>
      </c>
      <c r="M32" s="14" t="str">
        <f>"116,9875"</f>
        <v>116,9875</v>
      </c>
      <c r="N32" s="12" t="s">
        <v>502</v>
      </c>
    </row>
    <row r="34" spans="1:14" ht="15">
      <c r="A34" s="48" t="s">
        <v>30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12.75">
      <c r="A35" s="9" t="s">
        <v>503</v>
      </c>
      <c r="B35" s="9" t="s">
        <v>1891</v>
      </c>
      <c r="C35" s="9" t="s">
        <v>504</v>
      </c>
      <c r="D35" s="9" t="s">
        <v>505</v>
      </c>
      <c r="E35" s="9" t="str">
        <f>"0,6209"</f>
        <v>0,6209</v>
      </c>
      <c r="F35" s="9" t="s">
        <v>18</v>
      </c>
      <c r="G35" s="9" t="s">
        <v>19</v>
      </c>
      <c r="H35" s="11" t="s">
        <v>53</v>
      </c>
      <c r="I35" s="11" t="s">
        <v>161</v>
      </c>
      <c r="J35" s="10" t="s">
        <v>176</v>
      </c>
      <c r="K35" s="10"/>
      <c r="L35" s="9" t="str">
        <f>"285,0"</f>
        <v>285,0</v>
      </c>
      <c r="M35" s="11" t="str">
        <f>"176,9565"</f>
        <v>176,9565</v>
      </c>
      <c r="N35" s="9" t="s">
        <v>29</v>
      </c>
    </row>
    <row r="36" spans="1:14" ht="12.75">
      <c r="A36" s="12" t="s">
        <v>506</v>
      </c>
      <c r="B36" s="12" t="s">
        <v>1892</v>
      </c>
      <c r="C36" s="12" t="s">
        <v>507</v>
      </c>
      <c r="D36" s="12" t="s">
        <v>508</v>
      </c>
      <c r="E36" s="12" t="str">
        <f>"0,6126"</f>
        <v>0,6126</v>
      </c>
      <c r="F36" s="12" t="s">
        <v>18</v>
      </c>
      <c r="G36" s="12" t="s">
        <v>19</v>
      </c>
      <c r="H36" s="13" t="s">
        <v>321</v>
      </c>
      <c r="I36" s="14" t="s">
        <v>321</v>
      </c>
      <c r="J36" s="14" t="s">
        <v>60</v>
      </c>
      <c r="K36" s="13"/>
      <c r="L36" s="12" t="str">
        <f>"230,0"</f>
        <v>230,0</v>
      </c>
      <c r="M36" s="14" t="str">
        <f>"140,8980"</f>
        <v>140,8980</v>
      </c>
      <c r="N36" s="12"/>
    </row>
    <row r="38" spans="1:14" ht="15">
      <c r="A38" s="48" t="s">
        <v>45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2.75">
      <c r="A39" s="9" t="s">
        <v>509</v>
      </c>
      <c r="B39" s="9" t="s">
        <v>1891</v>
      </c>
      <c r="C39" s="9" t="s">
        <v>510</v>
      </c>
      <c r="D39" s="9" t="s">
        <v>511</v>
      </c>
      <c r="E39" s="9" t="str">
        <f>"0,5923"</f>
        <v>0,5923</v>
      </c>
      <c r="F39" s="9" t="s">
        <v>34</v>
      </c>
      <c r="G39" s="9" t="s">
        <v>512</v>
      </c>
      <c r="H39" s="11" t="s">
        <v>513</v>
      </c>
      <c r="I39" s="11" t="s">
        <v>178</v>
      </c>
      <c r="J39" s="10" t="s">
        <v>514</v>
      </c>
      <c r="K39" s="10"/>
      <c r="L39" s="9" t="str">
        <f>"287,5"</f>
        <v>287,5</v>
      </c>
      <c r="M39" s="11" t="str">
        <f>"170,2862"</f>
        <v>170,2862</v>
      </c>
      <c r="N39" s="9" t="s">
        <v>184</v>
      </c>
    </row>
    <row r="40" spans="1:14" ht="12.75">
      <c r="A40" s="12" t="s">
        <v>515</v>
      </c>
      <c r="B40" s="12" t="s">
        <v>1891</v>
      </c>
      <c r="C40" s="12" t="s">
        <v>516</v>
      </c>
      <c r="D40" s="12" t="s">
        <v>517</v>
      </c>
      <c r="E40" s="12" t="str">
        <f>"0,5988"</f>
        <v>0,5988</v>
      </c>
      <c r="F40" s="12" t="s">
        <v>18</v>
      </c>
      <c r="G40" s="12" t="s">
        <v>19</v>
      </c>
      <c r="H40" s="14" t="s">
        <v>53</v>
      </c>
      <c r="I40" s="14" t="s">
        <v>161</v>
      </c>
      <c r="J40" s="13" t="s">
        <v>176</v>
      </c>
      <c r="K40" s="13"/>
      <c r="L40" s="12" t="str">
        <f>"285,0"</f>
        <v>285,0</v>
      </c>
      <c r="M40" s="14" t="str">
        <f>"170,6580"</f>
        <v>170,6580</v>
      </c>
      <c r="N40" s="12" t="s">
        <v>29</v>
      </c>
    </row>
    <row r="42" spans="1:14" ht="15">
      <c r="A42" s="48" t="s">
        <v>206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2.75">
      <c r="A43" s="9" t="s">
        <v>518</v>
      </c>
      <c r="B43" s="9" t="s">
        <v>1892</v>
      </c>
      <c r="C43" s="9" t="s">
        <v>519</v>
      </c>
      <c r="D43" s="9" t="s">
        <v>520</v>
      </c>
      <c r="E43" s="9" t="str">
        <f>"0,5758"</f>
        <v>0,5758</v>
      </c>
      <c r="F43" s="9" t="s">
        <v>34</v>
      </c>
      <c r="G43" s="9" t="s">
        <v>521</v>
      </c>
      <c r="H43" s="11" t="s">
        <v>28</v>
      </c>
      <c r="I43" s="11" t="s">
        <v>522</v>
      </c>
      <c r="J43" s="11" t="s">
        <v>53</v>
      </c>
      <c r="K43" s="10"/>
      <c r="L43" s="9" t="str">
        <f>"275,0"</f>
        <v>275,0</v>
      </c>
      <c r="M43" s="11" t="str">
        <f>"158,3450"</f>
        <v>158,3450</v>
      </c>
      <c r="N43" s="9"/>
    </row>
    <row r="44" spans="1:14" ht="12.75">
      <c r="A44" s="23" t="s">
        <v>523</v>
      </c>
      <c r="B44" s="23" t="s">
        <v>1891</v>
      </c>
      <c r="C44" s="23" t="s">
        <v>524</v>
      </c>
      <c r="D44" s="23" t="s">
        <v>525</v>
      </c>
      <c r="E44" s="23" t="str">
        <f>"0,5756"</f>
        <v>0,5756</v>
      </c>
      <c r="F44" s="23" t="s">
        <v>34</v>
      </c>
      <c r="G44" s="23" t="s">
        <v>526</v>
      </c>
      <c r="H44" s="24" t="s">
        <v>160</v>
      </c>
      <c r="I44" s="24" t="s">
        <v>176</v>
      </c>
      <c r="J44" s="24" t="s">
        <v>194</v>
      </c>
      <c r="K44" s="25"/>
      <c r="L44" s="23" t="str">
        <f>"300,0"</f>
        <v>300,0</v>
      </c>
      <c r="M44" s="24" t="str">
        <f>"172,6800"</f>
        <v>172,6800</v>
      </c>
      <c r="N44" s="23" t="s">
        <v>527</v>
      </c>
    </row>
    <row r="45" spans="1:14" ht="12.75">
      <c r="A45" s="12" t="s">
        <v>528</v>
      </c>
      <c r="B45" s="12" t="s">
        <v>1892</v>
      </c>
      <c r="C45" s="12" t="s">
        <v>529</v>
      </c>
      <c r="D45" s="12" t="s">
        <v>520</v>
      </c>
      <c r="E45" s="12" t="str">
        <f>"0,5758"</f>
        <v>0,5758</v>
      </c>
      <c r="F45" s="12" t="s">
        <v>34</v>
      </c>
      <c r="G45" s="12" t="s">
        <v>521</v>
      </c>
      <c r="H45" s="14" t="s">
        <v>28</v>
      </c>
      <c r="I45" s="14" t="s">
        <v>522</v>
      </c>
      <c r="J45" s="14" t="s">
        <v>53</v>
      </c>
      <c r="K45" s="13"/>
      <c r="L45" s="12" t="str">
        <f>"275,0"</f>
        <v>275,0</v>
      </c>
      <c r="M45" s="14" t="str">
        <f>"158,3450"</f>
        <v>158,3450</v>
      </c>
      <c r="N45" s="12"/>
    </row>
    <row r="47" spans="1:14" ht="15">
      <c r="A47" s="48" t="s">
        <v>66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2.75">
      <c r="A48" s="6" t="s">
        <v>530</v>
      </c>
      <c r="B48" s="6" t="s">
        <v>1892</v>
      </c>
      <c r="C48" s="6" t="s">
        <v>531</v>
      </c>
      <c r="D48" s="6" t="s">
        <v>532</v>
      </c>
      <c r="E48" s="6" t="str">
        <f>"0,5686"</f>
        <v>0,5686</v>
      </c>
      <c r="F48" s="6" t="s">
        <v>18</v>
      </c>
      <c r="G48" s="6" t="s">
        <v>19</v>
      </c>
      <c r="H48" s="8" t="s">
        <v>160</v>
      </c>
      <c r="I48" s="7" t="s">
        <v>160</v>
      </c>
      <c r="J48" s="8" t="s">
        <v>161</v>
      </c>
      <c r="K48" s="8"/>
      <c r="L48" s="6" t="str">
        <f>"270,0"</f>
        <v>270,0</v>
      </c>
      <c r="M48" s="7" t="str">
        <f>"153,5220"</f>
        <v>153,5220</v>
      </c>
      <c r="N48" s="6" t="s">
        <v>533</v>
      </c>
    </row>
    <row r="50" ht="15">
      <c r="F50" s="15" t="s">
        <v>74</v>
      </c>
    </row>
    <row r="51" ht="15">
      <c r="F51" s="15" t="s">
        <v>75</v>
      </c>
    </row>
    <row r="52" ht="15">
      <c r="F52" s="15" t="s">
        <v>76</v>
      </c>
    </row>
    <row r="53" ht="15">
      <c r="F53" s="15" t="s">
        <v>77</v>
      </c>
    </row>
    <row r="54" ht="15">
      <c r="F54" s="15" t="s">
        <v>77</v>
      </c>
    </row>
    <row r="55" ht="15">
      <c r="F55" s="15" t="s">
        <v>78</v>
      </c>
    </row>
    <row r="56" ht="15">
      <c r="F56" s="15"/>
    </row>
    <row r="58" spans="1:3" ht="18">
      <c r="A58" s="16" t="s">
        <v>79</v>
      </c>
      <c r="B58" s="16"/>
      <c r="C58" s="16"/>
    </row>
    <row r="59" spans="1:3" ht="15">
      <c r="A59" s="17" t="s">
        <v>223</v>
      </c>
      <c r="B59" s="17"/>
      <c r="C59" s="17"/>
    </row>
    <row r="60" spans="1:3" ht="14.25">
      <c r="A60" s="19"/>
      <c r="B60" s="19"/>
      <c r="C60" s="20" t="s">
        <v>81</v>
      </c>
    </row>
    <row r="61" spans="1:6" ht="15">
      <c r="A61" s="21" t="s">
        <v>82</v>
      </c>
      <c r="B61" s="21"/>
      <c r="C61" s="21" t="s">
        <v>83</v>
      </c>
      <c r="D61" s="21" t="s">
        <v>84</v>
      </c>
      <c r="E61" s="21" t="s">
        <v>85</v>
      </c>
      <c r="F61" s="21" t="s">
        <v>86</v>
      </c>
    </row>
    <row r="62" spans="1:6" ht="12.75">
      <c r="A62" s="18" t="s">
        <v>469</v>
      </c>
      <c r="B62" s="18"/>
      <c r="C62" s="5" t="s">
        <v>81</v>
      </c>
      <c r="D62" s="5" t="s">
        <v>125</v>
      </c>
      <c r="E62" s="5" t="s">
        <v>20</v>
      </c>
      <c r="F62" s="22" t="s">
        <v>534</v>
      </c>
    </row>
    <row r="65" spans="1:3" ht="15">
      <c r="A65" s="17" t="s">
        <v>80</v>
      </c>
      <c r="B65" s="17"/>
      <c r="C65" s="17"/>
    </row>
    <row r="66" spans="1:3" ht="14.25">
      <c r="A66" s="19"/>
      <c r="B66" s="19"/>
      <c r="C66" s="20" t="s">
        <v>81</v>
      </c>
    </row>
    <row r="67" spans="1:6" ht="15">
      <c r="A67" s="21" t="s">
        <v>82</v>
      </c>
      <c r="B67" s="21"/>
      <c r="C67" s="21" t="s">
        <v>83</v>
      </c>
      <c r="D67" s="21" t="s">
        <v>84</v>
      </c>
      <c r="E67" s="21" t="s">
        <v>85</v>
      </c>
      <c r="F67" s="21" t="s">
        <v>86</v>
      </c>
    </row>
    <row r="68" spans="1:6" ht="12.75">
      <c r="A68" s="18" t="s">
        <v>481</v>
      </c>
      <c r="B68" s="18"/>
      <c r="C68" s="5" t="s">
        <v>81</v>
      </c>
      <c r="D68" s="5" t="s">
        <v>87</v>
      </c>
      <c r="E68" s="5" t="s">
        <v>162</v>
      </c>
      <c r="F68" s="22" t="s">
        <v>535</v>
      </c>
    </row>
  </sheetData>
  <sheetProtection/>
  <mergeCells count="23">
    <mergeCell ref="A1:N2"/>
    <mergeCell ref="A25:N25"/>
    <mergeCell ref="A21:N21"/>
    <mergeCell ref="A17:N17"/>
    <mergeCell ref="A11:N11"/>
    <mergeCell ref="A8:N8"/>
    <mergeCell ref="A5:N5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A47:N47"/>
    <mergeCell ref="A42:N42"/>
    <mergeCell ref="A38:N38"/>
    <mergeCell ref="A34:N34"/>
    <mergeCell ref="N3:N4"/>
    <mergeCell ref="B3:B4"/>
    <mergeCell ref="A30:N3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zoomScale="80" zoomScaleNormal="80"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25390625" style="5" customWidth="1"/>
    <col min="3" max="3" width="25.875" style="5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18.125" style="5" customWidth="1"/>
    <col min="8" max="10" width="5.625" style="4" bestFit="1" customWidth="1"/>
    <col min="11" max="11" width="4.875" style="4" bestFit="1" customWidth="1"/>
    <col min="12" max="12" width="11.25390625" style="5" customWidth="1"/>
    <col min="13" max="13" width="8.625" style="4" bestFit="1" customWidth="1"/>
    <col min="14" max="14" width="14.75390625" style="5" bestFit="1" customWidth="1"/>
    <col min="15" max="16384" width="9.125" style="4" customWidth="1"/>
  </cols>
  <sheetData>
    <row r="1" spans="1:14" s="3" customFormat="1" ht="28.5" customHeight="1">
      <c r="A1" s="38" t="s">
        <v>1639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3</v>
      </c>
      <c r="I3" s="30"/>
      <c r="J3" s="30"/>
      <c r="K3" s="30"/>
      <c r="L3" s="30" t="s">
        <v>433</v>
      </c>
      <c r="M3" s="30" t="s">
        <v>6</v>
      </c>
      <c r="N3" s="32" t="s">
        <v>5</v>
      </c>
    </row>
    <row r="4" spans="1:14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31"/>
      <c r="M4" s="31"/>
      <c r="N4" s="33"/>
    </row>
    <row r="5" spans="1:14" ht="15">
      <c r="A5" s="49" t="s">
        <v>155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6" t="s">
        <v>536</v>
      </c>
      <c r="B6" s="6" t="s">
        <v>1891</v>
      </c>
      <c r="C6" s="6" t="s">
        <v>537</v>
      </c>
      <c r="D6" s="6" t="s">
        <v>538</v>
      </c>
      <c r="E6" s="6" t="str">
        <f>"0,6545"</f>
        <v>0,6545</v>
      </c>
      <c r="F6" s="6" t="s">
        <v>539</v>
      </c>
      <c r="G6" s="6" t="s">
        <v>540</v>
      </c>
      <c r="H6" s="7" t="s">
        <v>175</v>
      </c>
      <c r="I6" s="7" t="s">
        <v>194</v>
      </c>
      <c r="J6" s="8" t="s">
        <v>541</v>
      </c>
      <c r="K6" s="8"/>
      <c r="L6" s="6" t="str">
        <f>"300,0"</f>
        <v>300,0</v>
      </c>
      <c r="M6" s="7" t="str">
        <f>"196,3500"</f>
        <v>196,3500</v>
      </c>
      <c r="N6" s="6" t="s">
        <v>542</v>
      </c>
    </row>
    <row r="8" spans="1:14" ht="15">
      <c r="A8" s="48" t="s">
        <v>30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2.75">
      <c r="A9" s="6" t="s">
        <v>543</v>
      </c>
      <c r="B9" s="6" t="s">
        <v>1892</v>
      </c>
      <c r="C9" s="6" t="s">
        <v>544</v>
      </c>
      <c r="D9" s="6" t="s">
        <v>545</v>
      </c>
      <c r="E9" s="6" t="str">
        <f>"0,6229"</f>
        <v>0,6229</v>
      </c>
      <c r="F9" s="6" t="s">
        <v>18</v>
      </c>
      <c r="G9" s="6" t="s">
        <v>19</v>
      </c>
      <c r="H9" s="8" t="s">
        <v>49</v>
      </c>
      <c r="I9" s="7" t="s">
        <v>49</v>
      </c>
      <c r="J9" s="7" t="s">
        <v>72</v>
      </c>
      <c r="K9" s="8"/>
      <c r="L9" s="6" t="str">
        <f>"260,0"</f>
        <v>260,0</v>
      </c>
      <c r="M9" s="7" t="str">
        <f>"161,9540"</f>
        <v>161,9540</v>
      </c>
      <c r="N9" s="6"/>
    </row>
    <row r="11" spans="1:14" ht="15">
      <c r="A11" s="48" t="s">
        <v>206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2.75">
      <c r="A12" s="6" t="s">
        <v>546</v>
      </c>
      <c r="B12" s="6" t="s">
        <v>1891</v>
      </c>
      <c r="C12" s="6" t="s">
        <v>547</v>
      </c>
      <c r="D12" s="6" t="s">
        <v>548</v>
      </c>
      <c r="E12" s="6" t="str">
        <f>"0,5795"</f>
        <v>0,5795</v>
      </c>
      <c r="F12" s="6" t="s">
        <v>18</v>
      </c>
      <c r="G12" s="6" t="s">
        <v>19</v>
      </c>
      <c r="H12" s="7" t="s">
        <v>194</v>
      </c>
      <c r="I12" s="7" t="s">
        <v>243</v>
      </c>
      <c r="J12" s="8" t="s">
        <v>196</v>
      </c>
      <c r="K12" s="8"/>
      <c r="L12" s="6" t="str">
        <f>"320,0"</f>
        <v>320,0</v>
      </c>
      <c r="M12" s="7" t="str">
        <f>"185,4400"</f>
        <v>185,4400</v>
      </c>
      <c r="N12" s="6"/>
    </row>
    <row r="14" ht="15">
      <c r="F14" s="15" t="s">
        <v>74</v>
      </c>
    </row>
    <row r="15" ht="15">
      <c r="F15" s="15" t="s">
        <v>75</v>
      </c>
    </row>
    <row r="16" ht="15">
      <c r="F16" s="15" t="s">
        <v>76</v>
      </c>
    </row>
    <row r="17" ht="15">
      <c r="F17" s="15" t="s">
        <v>77</v>
      </c>
    </row>
    <row r="18" ht="15">
      <c r="F18" s="15" t="s">
        <v>77</v>
      </c>
    </row>
    <row r="19" ht="15">
      <c r="F19" s="15" t="s">
        <v>78</v>
      </c>
    </row>
    <row r="20" ht="15">
      <c r="F20" s="15"/>
    </row>
  </sheetData>
  <sheetProtection/>
  <mergeCells count="15">
    <mergeCell ref="A1:N2"/>
    <mergeCell ref="G3:G4"/>
    <mergeCell ref="H3:K3"/>
    <mergeCell ref="L3:L4"/>
    <mergeCell ref="M3:M4"/>
    <mergeCell ref="A11:N11"/>
    <mergeCell ref="A8:N8"/>
    <mergeCell ref="A5:N5"/>
    <mergeCell ref="B3:B4"/>
    <mergeCell ref="N3:N4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625" style="5" customWidth="1"/>
    <col min="3" max="3" width="22.87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16.75390625" style="5" bestFit="1" customWidth="1"/>
    <col min="8" max="10" width="5.625" style="4" bestFit="1" customWidth="1"/>
    <col min="11" max="11" width="4.875" style="4" bestFit="1" customWidth="1"/>
    <col min="12" max="12" width="11.625" style="5" customWidth="1"/>
    <col min="13" max="13" width="8.625" style="4" bestFit="1" customWidth="1"/>
    <col min="14" max="14" width="14.125" style="5" bestFit="1" customWidth="1"/>
    <col min="15" max="16384" width="9.125" style="4" customWidth="1"/>
  </cols>
  <sheetData>
    <row r="1" spans="1:14" s="3" customFormat="1" ht="28.5" customHeight="1">
      <c r="A1" s="38" t="s">
        <v>1638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3</v>
      </c>
      <c r="I3" s="30"/>
      <c r="J3" s="30"/>
      <c r="K3" s="30"/>
      <c r="L3" s="30" t="s">
        <v>433</v>
      </c>
      <c r="M3" s="30" t="s">
        <v>6</v>
      </c>
      <c r="N3" s="32" t="s">
        <v>5</v>
      </c>
    </row>
    <row r="4" spans="1:14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31"/>
      <c r="M4" s="31"/>
      <c r="N4" s="33"/>
    </row>
    <row r="5" spans="1:14" ht="1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6" t="s">
        <v>549</v>
      </c>
      <c r="B6" s="6" t="s">
        <v>1889</v>
      </c>
      <c r="C6" s="6" t="s">
        <v>550</v>
      </c>
      <c r="D6" s="6" t="s">
        <v>551</v>
      </c>
      <c r="E6" s="6" t="str">
        <f>"0,6186"</f>
        <v>0,6186</v>
      </c>
      <c r="F6" s="6" t="s">
        <v>18</v>
      </c>
      <c r="G6" s="6" t="s">
        <v>19</v>
      </c>
      <c r="H6" s="7" t="s">
        <v>118</v>
      </c>
      <c r="I6" s="7" t="s">
        <v>152</v>
      </c>
      <c r="J6" s="8" t="s">
        <v>62</v>
      </c>
      <c r="K6" s="8"/>
      <c r="L6" s="6" t="str">
        <f>"185,0"</f>
        <v>185,0</v>
      </c>
      <c r="M6" s="7" t="str">
        <f>"114,4410"</f>
        <v>114,4410</v>
      </c>
      <c r="N6" s="6" t="s">
        <v>363</v>
      </c>
    </row>
    <row r="8" ht="15">
      <c r="F8" s="15" t="s">
        <v>74</v>
      </c>
    </row>
    <row r="9" ht="15">
      <c r="F9" s="15" t="s">
        <v>75</v>
      </c>
    </row>
    <row r="10" ht="15">
      <c r="F10" s="15" t="s">
        <v>76</v>
      </c>
    </row>
    <row r="11" ht="15">
      <c r="F11" s="15" t="s">
        <v>77</v>
      </c>
    </row>
    <row r="12" ht="15">
      <c r="F12" s="15" t="s">
        <v>77</v>
      </c>
    </row>
    <row r="13" ht="15">
      <c r="F13" s="15" t="s">
        <v>78</v>
      </c>
    </row>
    <row r="14" ht="15">
      <c r="F14" s="15"/>
    </row>
  </sheetData>
  <sheetProtection/>
  <mergeCells count="13">
    <mergeCell ref="N3:N4"/>
    <mergeCell ref="A5:N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25390625" style="5" customWidth="1"/>
    <col min="3" max="3" width="29.00390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1.125" style="5" bestFit="1" customWidth="1"/>
    <col min="8" max="9" width="4.625" style="4" bestFit="1" customWidth="1"/>
    <col min="10" max="10" width="11.625" style="5" customWidth="1"/>
    <col min="11" max="11" width="9.625" style="4" bestFit="1" customWidth="1"/>
    <col min="12" max="12" width="14.375" style="5" bestFit="1" customWidth="1"/>
    <col min="13" max="16384" width="9.125" style="4" customWidth="1"/>
  </cols>
  <sheetData>
    <row r="1" spans="1:12" s="3" customFormat="1" ht="28.5" customHeight="1">
      <c r="A1" s="38" t="s">
        <v>1684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1683</v>
      </c>
      <c r="F3" s="30" t="s">
        <v>7</v>
      </c>
      <c r="G3" s="30" t="s">
        <v>10</v>
      </c>
      <c r="H3" s="30" t="s">
        <v>2</v>
      </c>
      <c r="I3" s="30"/>
      <c r="J3" s="30" t="s">
        <v>433</v>
      </c>
      <c r="K3" s="30" t="s">
        <v>6</v>
      </c>
      <c r="L3" s="32" t="s">
        <v>5</v>
      </c>
    </row>
    <row r="4" spans="1:12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31"/>
      <c r="K4" s="31"/>
      <c r="L4" s="33"/>
    </row>
    <row r="5" spans="1:12" ht="15">
      <c r="A5" s="49" t="s">
        <v>649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2.75">
      <c r="A6" s="9" t="s">
        <v>1682</v>
      </c>
      <c r="B6" s="9" t="s">
        <v>1888</v>
      </c>
      <c r="C6" s="9" t="s">
        <v>1681</v>
      </c>
      <c r="D6" s="9" t="s">
        <v>1680</v>
      </c>
      <c r="E6" s="9" t="str">
        <f>"1,1696"</f>
        <v>1,1696</v>
      </c>
      <c r="F6" s="9" t="s">
        <v>34</v>
      </c>
      <c r="G6" s="9" t="s">
        <v>767</v>
      </c>
      <c r="H6" s="11" t="s">
        <v>1679</v>
      </c>
      <c r="I6" s="11" t="s">
        <v>1678</v>
      </c>
      <c r="J6" s="9" t="str">
        <f>"975,0"</f>
        <v>975,0</v>
      </c>
      <c r="K6" s="11" t="str">
        <f>"1140,3600"</f>
        <v>1140,3600</v>
      </c>
      <c r="L6" s="9" t="s">
        <v>1677</v>
      </c>
    </row>
    <row r="7" spans="1:12" ht="12.75">
      <c r="A7" s="12" t="s">
        <v>1676</v>
      </c>
      <c r="B7" s="12" t="s">
        <v>1889</v>
      </c>
      <c r="C7" s="12" t="s">
        <v>877</v>
      </c>
      <c r="D7" s="12" t="s">
        <v>1391</v>
      </c>
      <c r="E7" s="12" t="str">
        <f>"1,1144"</f>
        <v>1,1144</v>
      </c>
      <c r="F7" s="12" t="s">
        <v>18</v>
      </c>
      <c r="G7" s="12" t="s">
        <v>19</v>
      </c>
      <c r="H7" s="14" t="s">
        <v>1666</v>
      </c>
      <c r="I7" s="14" t="s">
        <v>1675</v>
      </c>
      <c r="J7" s="12" t="str">
        <f>"660,0"</f>
        <v>660,0</v>
      </c>
      <c r="K7" s="14" t="str">
        <f>"735,5040"</f>
        <v>735,5040</v>
      </c>
      <c r="L7" s="12" t="s">
        <v>879</v>
      </c>
    </row>
    <row r="9" spans="1:12" ht="15">
      <c r="A9" s="48" t="s">
        <v>92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2.75">
      <c r="A10" s="9" t="s">
        <v>862</v>
      </c>
      <c r="B10" s="9" t="s">
        <v>1892</v>
      </c>
      <c r="C10" s="9" t="s">
        <v>863</v>
      </c>
      <c r="D10" s="9" t="s">
        <v>1674</v>
      </c>
      <c r="E10" s="9" t="str">
        <f>"1,0591"</f>
        <v>1,0591</v>
      </c>
      <c r="F10" s="9" t="s">
        <v>18</v>
      </c>
      <c r="G10" s="9" t="s">
        <v>19</v>
      </c>
      <c r="H10" s="11" t="s">
        <v>1666</v>
      </c>
      <c r="I10" s="11" t="s">
        <v>1673</v>
      </c>
      <c r="J10" s="9" t="str">
        <f>"1292,5"</f>
        <v>1292,5</v>
      </c>
      <c r="K10" s="11" t="str">
        <f>"1368,8868"</f>
        <v>1368,8868</v>
      </c>
      <c r="L10" s="9" t="s">
        <v>865</v>
      </c>
    </row>
    <row r="11" spans="1:12" ht="12.75">
      <c r="A11" s="23" t="s">
        <v>1672</v>
      </c>
      <c r="B11" s="23" t="s">
        <v>1888</v>
      </c>
      <c r="C11" s="23" t="s">
        <v>1671</v>
      </c>
      <c r="D11" s="23" t="s">
        <v>1670</v>
      </c>
      <c r="E11" s="23" t="str">
        <f>"1,1009"</f>
        <v>1,1009</v>
      </c>
      <c r="F11" s="23" t="s">
        <v>34</v>
      </c>
      <c r="G11" s="23" t="s">
        <v>343</v>
      </c>
      <c r="H11" s="24" t="s">
        <v>1666</v>
      </c>
      <c r="I11" s="24" t="s">
        <v>558</v>
      </c>
      <c r="J11" s="23" t="str">
        <f>"1100,0"</f>
        <v>1100,0</v>
      </c>
      <c r="K11" s="24" t="str">
        <f>"1210,9901"</f>
        <v>1210,9901</v>
      </c>
      <c r="L11" s="23" t="s">
        <v>29</v>
      </c>
    </row>
    <row r="12" spans="1:12" ht="12.75">
      <c r="A12" s="23" t="s">
        <v>1669</v>
      </c>
      <c r="B12" s="23" t="s">
        <v>1892</v>
      </c>
      <c r="C12" s="23" t="s">
        <v>1668</v>
      </c>
      <c r="D12" s="23" t="s">
        <v>1667</v>
      </c>
      <c r="E12" s="23" t="str">
        <f>"1,0861"</f>
        <v>1,0861</v>
      </c>
      <c r="F12" s="23" t="s">
        <v>34</v>
      </c>
      <c r="G12" s="23" t="s">
        <v>526</v>
      </c>
      <c r="H12" s="24" t="s">
        <v>1666</v>
      </c>
      <c r="I12" s="24" t="s">
        <v>558</v>
      </c>
      <c r="J12" s="23" t="str">
        <f>"1100,0"</f>
        <v>1100,0</v>
      </c>
      <c r="K12" s="24" t="str">
        <f>"1194,7100"</f>
        <v>1194,7100</v>
      </c>
      <c r="L12" s="23" t="s">
        <v>1665</v>
      </c>
    </row>
    <row r="13" spans="1:12" ht="12.75">
      <c r="A13" s="12" t="s">
        <v>1664</v>
      </c>
      <c r="B13" s="12" t="s">
        <v>1888</v>
      </c>
      <c r="C13" s="12" t="s">
        <v>870</v>
      </c>
      <c r="D13" s="12" t="s">
        <v>455</v>
      </c>
      <c r="E13" s="12" t="str">
        <f>"1,0439"</f>
        <v>1,0439</v>
      </c>
      <c r="F13" s="12" t="s">
        <v>18</v>
      </c>
      <c r="G13" s="12" t="s">
        <v>19</v>
      </c>
      <c r="H13" s="14" t="s">
        <v>1654</v>
      </c>
      <c r="I13" s="14" t="s">
        <v>1663</v>
      </c>
      <c r="J13" s="12" t="str">
        <f>"1080,0"</f>
        <v>1080,0</v>
      </c>
      <c r="K13" s="14" t="str">
        <f>"1127,4120"</f>
        <v>1127,4120</v>
      </c>
      <c r="L13" s="12" t="s">
        <v>872</v>
      </c>
    </row>
    <row r="15" spans="1:12" ht="15">
      <c r="A15" s="48" t="s">
        <v>110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2.75">
      <c r="A16" s="9" t="s">
        <v>1662</v>
      </c>
      <c r="B16" s="9" t="s">
        <v>1892</v>
      </c>
      <c r="C16" s="9" t="s">
        <v>1661</v>
      </c>
      <c r="D16" s="9" t="s">
        <v>266</v>
      </c>
      <c r="E16" s="9" t="str">
        <f>"0,9049"</f>
        <v>0,9049</v>
      </c>
      <c r="F16" s="9" t="s">
        <v>34</v>
      </c>
      <c r="G16" s="9" t="s">
        <v>1371</v>
      </c>
      <c r="H16" s="11" t="s">
        <v>901</v>
      </c>
      <c r="I16" s="11" t="s">
        <v>1660</v>
      </c>
      <c r="J16" s="9" t="str">
        <f>"1540,0"</f>
        <v>1540,0</v>
      </c>
      <c r="K16" s="11" t="str">
        <f>"1393,5460"</f>
        <v>1393,5460</v>
      </c>
      <c r="L16" s="9" t="s">
        <v>1659</v>
      </c>
    </row>
    <row r="17" spans="1:12" ht="12.75">
      <c r="A17" s="12" t="s">
        <v>1658</v>
      </c>
      <c r="B17" s="12" t="s">
        <v>1892</v>
      </c>
      <c r="C17" s="12" t="s">
        <v>1414</v>
      </c>
      <c r="D17" s="12" t="s">
        <v>251</v>
      </c>
      <c r="E17" s="12" t="str">
        <f>"0,9346"</f>
        <v>0,9346</v>
      </c>
      <c r="F17" s="12" t="s">
        <v>34</v>
      </c>
      <c r="G17" s="12" t="s">
        <v>167</v>
      </c>
      <c r="H17" s="14" t="s">
        <v>1657</v>
      </c>
      <c r="I17" s="14" t="s">
        <v>558</v>
      </c>
      <c r="J17" s="12" t="str">
        <f>"1300,0"</f>
        <v>1300,0</v>
      </c>
      <c r="K17" s="14" t="str">
        <f>"1214,9800"</f>
        <v>1214,9800</v>
      </c>
      <c r="L17" s="12"/>
    </row>
    <row r="19" spans="1:12" ht="15">
      <c r="A19" s="48" t="s">
        <v>128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2.75">
      <c r="A20" s="6" t="s">
        <v>976</v>
      </c>
      <c r="B20" s="6" t="s">
        <v>1896</v>
      </c>
      <c r="C20" s="6" t="s">
        <v>1656</v>
      </c>
      <c r="D20" s="6" t="s">
        <v>978</v>
      </c>
      <c r="E20" s="6" t="str">
        <f>"0,7042"</f>
        <v>0,7042</v>
      </c>
      <c r="F20" s="29" t="s">
        <v>1655</v>
      </c>
      <c r="G20" s="6" t="s">
        <v>19</v>
      </c>
      <c r="H20" s="7" t="s">
        <v>557</v>
      </c>
      <c r="I20" s="7" t="s">
        <v>1654</v>
      </c>
      <c r="J20" s="6" t="str">
        <f>"1125,0"</f>
        <v>1125,0</v>
      </c>
      <c r="K20" s="7" t="str">
        <f>"792,1688"</f>
        <v>792,1688</v>
      </c>
      <c r="L20" s="6" t="s">
        <v>979</v>
      </c>
    </row>
    <row r="22" ht="15">
      <c r="F22" s="15" t="s">
        <v>74</v>
      </c>
    </row>
    <row r="23" ht="15">
      <c r="F23" s="15" t="s">
        <v>75</v>
      </c>
    </row>
    <row r="24" ht="15">
      <c r="F24" s="15" t="s">
        <v>76</v>
      </c>
    </row>
    <row r="25" ht="15">
      <c r="F25" s="15" t="s">
        <v>77</v>
      </c>
    </row>
    <row r="26" ht="15">
      <c r="F26" s="15" t="s">
        <v>77</v>
      </c>
    </row>
    <row r="27" ht="15">
      <c r="F27" s="15" t="s">
        <v>78</v>
      </c>
    </row>
    <row r="28" ht="15">
      <c r="F28" s="15"/>
    </row>
    <row r="30" spans="1:3" ht="18">
      <c r="A30" s="16" t="s">
        <v>79</v>
      </c>
      <c r="B30" s="16"/>
      <c r="C30" s="16"/>
    </row>
    <row r="31" spans="1:3" ht="15">
      <c r="A31" s="17" t="s">
        <v>223</v>
      </c>
      <c r="B31" s="17"/>
      <c r="C31" s="17"/>
    </row>
    <row r="32" spans="1:3" ht="14.25">
      <c r="A32" s="19"/>
      <c r="B32" s="19"/>
      <c r="C32" s="20" t="s">
        <v>81</v>
      </c>
    </row>
    <row r="33" spans="1:6" ht="15">
      <c r="A33" s="21" t="s">
        <v>82</v>
      </c>
      <c r="B33" s="21"/>
      <c r="C33" s="21" t="s">
        <v>83</v>
      </c>
      <c r="D33" s="21" t="s">
        <v>84</v>
      </c>
      <c r="E33" s="21" t="s">
        <v>85</v>
      </c>
      <c r="F33" s="21" t="s">
        <v>1653</v>
      </c>
    </row>
    <row r="34" spans="1:6" ht="12.75">
      <c r="A34" s="18" t="s">
        <v>1652</v>
      </c>
      <c r="B34" s="18"/>
      <c r="C34" s="5" t="s">
        <v>81</v>
      </c>
      <c r="D34" s="5" t="s">
        <v>224</v>
      </c>
      <c r="E34" s="5" t="s">
        <v>1651</v>
      </c>
      <c r="F34" s="22" t="s">
        <v>1650</v>
      </c>
    </row>
  </sheetData>
  <sheetProtection/>
  <mergeCells count="16">
    <mergeCell ref="A5:L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A19:L19"/>
    <mergeCell ref="A15:L15"/>
    <mergeCell ref="A9:L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zoomScale="70" zoomScaleNormal="70" zoomScalePageLayoutView="0" workbookViewId="0" topLeftCell="A1">
      <selection activeCell="B3" sqref="B3:B4"/>
    </sheetView>
  </sheetViews>
  <sheetFormatPr defaultColWidth="9.00390625" defaultRowHeight="12.75"/>
  <cols>
    <col min="1" max="1" width="26.25390625" style="5" bestFit="1" customWidth="1"/>
    <col min="2" max="2" width="16.25390625" style="5" customWidth="1"/>
    <col min="3" max="3" width="29.75390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8.25390625" style="5" bestFit="1" customWidth="1"/>
    <col min="8" max="10" width="5.625" style="4" bestFit="1" customWidth="1"/>
    <col min="11" max="11" width="4.875" style="4" bestFit="1" customWidth="1"/>
    <col min="12" max="14" width="5.625" style="4" bestFit="1" customWidth="1"/>
    <col min="15" max="15" width="4.875" style="4" bestFit="1" customWidth="1"/>
    <col min="16" max="18" width="5.625" style="4" bestFit="1" customWidth="1"/>
    <col min="19" max="19" width="4.875" style="4" bestFit="1" customWidth="1"/>
    <col min="20" max="20" width="7.875" style="5" bestFit="1" customWidth="1"/>
    <col min="21" max="21" width="8.625" style="4" bestFit="1" customWidth="1"/>
    <col min="22" max="22" width="27.125" style="5" bestFit="1" customWidth="1"/>
    <col min="23" max="16384" width="9.125" style="4" customWidth="1"/>
  </cols>
  <sheetData>
    <row r="1" spans="1:22" s="3" customFormat="1" ht="28.5" customHeight="1">
      <c r="A1" s="38" t="s">
        <v>1636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22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</row>
    <row r="3" spans="1:22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1</v>
      </c>
      <c r="I3" s="30"/>
      <c r="J3" s="30"/>
      <c r="K3" s="30"/>
      <c r="L3" s="30" t="s">
        <v>2</v>
      </c>
      <c r="M3" s="30"/>
      <c r="N3" s="30"/>
      <c r="O3" s="30"/>
      <c r="P3" s="30" t="s">
        <v>3</v>
      </c>
      <c r="Q3" s="30"/>
      <c r="R3" s="30"/>
      <c r="S3" s="30"/>
      <c r="T3" s="30" t="s">
        <v>4</v>
      </c>
      <c r="U3" s="30" t="s">
        <v>6</v>
      </c>
      <c r="V3" s="32" t="s">
        <v>5</v>
      </c>
    </row>
    <row r="4" spans="1:22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2">
        <v>1</v>
      </c>
      <c r="M4" s="2">
        <v>2</v>
      </c>
      <c r="N4" s="2">
        <v>3</v>
      </c>
      <c r="O4" s="2" t="s">
        <v>8</v>
      </c>
      <c r="P4" s="2">
        <v>1</v>
      </c>
      <c r="Q4" s="2">
        <v>2</v>
      </c>
      <c r="R4" s="2">
        <v>3</v>
      </c>
      <c r="S4" s="2" t="s">
        <v>8</v>
      </c>
      <c r="T4" s="31"/>
      <c r="U4" s="31"/>
      <c r="V4" s="33"/>
    </row>
    <row r="5" spans="1:22" ht="15">
      <c r="A5" s="49" t="s">
        <v>552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2.75">
      <c r="A6" s="6" t="s">
        <v>644</v>
      </c>
      <c r="B6" s="6" t="s">
        <v>1891</v>
      </c>
      <c r="C6" s="6" t="s">
        <v>645</v>
      </c>
      <c r="D6" s="6" t="s">
        <v>646</v>
      </c>
      <c r="E6" s="6" t="str">
        <f>"1,3244"</f>
        <v>1,3244</v>
      </c>
      <c r="F6" s="6" t="s">
        <v>34</v>
      </c>
      <c r="G6" s="6" t="s">
        <v>647</v>
      </c>
      <c r="H6" s="8" t="s">
        <v>232</v>
      </c>
      <c r="I6" s="7" t="s">
        <v>232</v>
      </c>
      <c r="J6" s="7" t="s">
        <v>133</v>
      </c>
      <c r="K6" s="8"/>
      <c r="L6" s="7" t="s">
        <v>97</v>
      </c>
      <c r="M6" s="8" t="s">
        <v>577</v>
      </c>
      <c r="N6" s="7" t="s">
        <v>577</v>
      </c>
      <c r="O6" s="8"/>
      <c r="P6" s="7" t="s">
        <v>133</v>
      </c>
      <c r="Q6" s="7" t="s">
        <v>91</v>
      </c>
      <c r="R6" s="8" t="s">
        <v>139</v>
      </c>
      <c r="S6" s="8"/>
      <c r="T6" s="6" t="str">
        <f>"247,5"</f>
        <v>247,5</v>
      </c>
      <c r="U6" s="7" t="str">
        <f>"327,7890"</f>
        <v>327,7890</v>
      </c>
      <c r="V6" s="6" t="s">
        <v>648</v>
      </c>
    </row>
    <row r="8" spans="1:22" ht="15">
      <c r="A8" s="48" t="s">
        <v>649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ht="12.75">
      <c r="A9" s="9" t="s">
        <v>650</v>
      </c>
      <c r="B9" s="9" t="s">
        <v>1891</v>
      </c>
      <c r="C9" s="9" t="s">
        <v>651</v>
      </c>
      <c r="D9" s="9" t="s">
        <v>652</v>
      </c>
      <c r="E9" s="9" t="str">
        <f>"1,2466"</f>
        <v>1,2466</v>
      </c>
      <c r="F9" s="9" t="s">
        <v>18</v>
      </c>
      <c r="G9" s="9" t="s">
        <v>19</v>
      </c>
      <c r="H9" s="11" t="s">
        <v>91</v>
      </c>
      <c r="I9" s="10" t="s">
        <v>90</v>
      </c>
      <c r="J9" s="10" t="s">
        <v>90</v>
      </c>
      <c r="K9" s="10"/>
      <c r="L9" s="11" t="s">
        <v>98</v>
      </c>
      <c r="M9" s="11" t="s">
        <v>581</v>
      </c>
      <c r="N9" s="11" t="s">
        <v>224</v>
      </c>
      <c r="O9" s="10"/>
      <c r="P9" s="11" t="s">
        <v>133</v>
      </c>
      <c r="Q9" s="11" t="s">
        <v>134</v>
      </c>
      <c r="R9" s="10" t="s">
        <v>90</v>
      </c>
      <c r="S9" s="10"/>
      <c r="T9" s="9" t="str">
        <f>"272,5"</f>
        <v>272,5</v>
      </c>
      <c r="U9" s="11" t="str">
        <f>"339,6985"</f>
        <v>339,6985</v>
      </c>
      <c r="V9" s="9" t="s">
        <v>653</v>
      </c>
    </row>
    <row r="10" spans="1:22" ht="12.75">
      <c r="A10" s="12" t="s">
        <v>654</v>
      </c>
      <c r="B10" s="12" t="s">
        <v>1892</v>
      </c>
      <c r="C10" s="12" t="s">
        <v>655</v>
      </c>
      <c r="D10" s="12" t="s">
        <v>656</v>
      </c>
      <c r="E10" s="12" t="str">
        <f>"1,2597"</f>
        <v>1,2597</v>
      </c>
      <c r="F10" s="12" t="s">
        <v>657</v>
      </c>
      <c r="G10" s="12" t="s">
        <v>658</v>
      </c>
      <c r="H10" s="14" t="s">
        <v>263</v>
      </c>
      <c r="I10" s="14" t="s">
        <v>275</v>
      </c>
      <c r="J10" s="14" t="s">
        <v>91</v>
      </c>
      <c r="K10" s="13"/>
      <c r="L10" s="14" t="s">
        <v>97</v>
      </c>
      <c r="M10" s="14" t="s">
        <v>98</v>
      </c>
      <c r="N10" s="13" t="s">
        <v>99</v>
      </c>
      <c r="O10" s="13"/>
      <c r="P10" s="14" t="s">
        <v>263</v>
      </c>
      <c r="Q10" s="14" t="s">
        <v>91</v>
      </c>
      <c r="R10" s="13" t="s">
        <v>134</v>
      </c>
      <c r="S10" s="13"/>
      <c r="T10" s="12" t="str">
        <f>"255,0"</f>
        <v>255,0</v>
      </c>
      <c r="U10" s="14" t="str">
        <f>"321,2235"</f>
        <v>321,2235</v>
      </c>
      <c r="V10" s="12" t="s">
        <v>659</v>
      </c>
    </row>
    <row r="12" spans="1:22" ht="15">
      <c r="A12" s="48" t="s">
        <v>92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ht="12.75">
      <c r="A13" s="9" t="s">
        <v>660</v>
      </c>
      <c r="B13" s="9" t="s">
        <v>1888</v>
      </c>
      <c r="C13" s="9" t="s">
        <v>661</v>
      </c>
      <c r="D13" s="9" t="s">
        <v>662</v>
      </c>
      <c r="E13" s="9" t="str">
        <f>"1,1883"</f>
        <v>1,1883</v>
      </c>
      <c r="F13" s="9" t="s">
        <v>18</v>
      </c>
      <c r="G13" s="9" t="s">
        <v>19</v>
      </c>
      <c r="H13" s="11" t="s">
        <v>282</v>
      </c>
      <c r="I13" s="10" t="s">
        <v>232</v>
      </c>
      <c r="J13" s="10" t="s">
        <v>232</v>
      </c>
      <c r="K13" s="10"/>
      <c r="L13" s="11" t="s">
        <v>108</v>
      </c>
      <c r="M13" s="11" t="s">
        <v>97</v>
      </c>
      <c r="N13" s="11" t="s">
        <v>98</v>
      </c>
      <c r="O13" s="10"/>
      <c r="P13" s="11" t="s">
        <v>232</v>
      </c>
      <c r="Q13" s="11" t="s">
        <v>91</v>
      </c>
      <c r="R13" s="10" t="s">
        <v>144</v>
      </c>
      <c r="S13" s="10"/>
      <c r="T13" s="9" t="str">
        <f>"240,0"</f>
        <v>240,0</v>
      </c>
      <c r="U13" s="11" t="str">
        <f>"285,1920"</f>
        <v>285,1920</v>
      </c>
      <c r="V13" s="9" t="s">
        <v>663</v>
      </c>
    </row>
    <row r="14" spans="1:22" ht="12.75">
      <c r="A14" s="12" t="s">
        <v>664</v>
      </c>
      <c r="B14" s="12" t="s">
        <v>1890</v>
      </c>
      <c r="C14" s="12" t="s">
        <v>665</v>
      </c>
      <c r="D14" s="12" t="s">
        <v>666</v>
      </c>
      <c r="E14" s="12" t="str">
        <f>"1,2106"</f>
        <v>1,2106</v>
      </c>
      <c r="F14" s="12" t="s">
        <v>18</v>
      </c>
      <c r="G14" s="12" t="s">
        <v>19</v>
      </c>
      <c r="H14" s="14" t="s">
        <v>125</v>
      </c>
      <c r="I14" s="14" t="s">
        <v>281</v>
      </c>
      <c r="J14" s="14" t="s">
        <v>87</v>
      </c>
      <c r="K14" s="13"/>
      <c r="L14" s="13" t="s">
        <v>225</v>
      </c>
      <c r="M14" s="13" t="s">
        <v>225</v>
      </c>
      <c r="N14" s="13" t="s">
        <v>225</v>
      </c>
      <c r="O14" s="13"/>
      <c r="P14" s="13" t="s">
        <v>100</v>
      </c>
      <c r="Q14" s="13"/>
      <c r="R14" s="13"/>
      <c r="S14" s="13"/>
      <c r="T14" s="12" t="str">
        <f>"0,0"</f>
        <v>0,0</v>
      </c>
      <c r="U14" s="14" t="str">
        <f>"0,0000"</f>
        <v>0,0000</v>
      </c>
      <c r="V14" s="12" t="s">
        <v>667</v>
      </c>
    </row>
    <row r="16" spans="1:22" ht="15">
      <c r="A16" s="48" t="s">
        <v>103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12.75">
      <c r="A17" s="6" t="s">
        <v>668</v>
      </c>
      <c r="B17" s="6" t="s">
        <v>1890</v>
      </c>
      <c r="C17" s="6" t="s">
        <v>669</v>
      </c>
      <c r="D17" s="6" t="s">
        <v>670</v>
      </c>
      <c r="E17" s="6" t="str">
        <f>"1,1236"</f>
        <v>1,1236</v>
      </c>
      <c r="F17" s="6" t="s">
        <v>18</v>
      </c>
      <c r="G17" s="6" t="s">
        <v>19</v>
      </c>
      <c r="H17" s="8" t="s">
        <v>96</v>
      </c>
      <c r="I17" s="8" t="s">
        <v>96</v>
      </c>
      <c r="J17" s="8" t="s">
        <v>96</v>
      </c>
      <c r="K17" s="8"/>
      <c r="L17" s="8" t="s">
        <v>577</v>
      </c>
      <c r="M17" s="8"/>
      <c r="N17" s="8"/>
      <c r="O17" s="8"/>
      <c r="P17" s="8" t="s">
        <v>91</v>
      </c>
      <c r="Q17" s="8"/>
      <c r="R17" s="8"/>
      <c r="S17" s="8"/>
      <c r="T17" s="6" t="str">
        <f>"0,0"</f>
        <v>0,0</v>
      </c>
      <c r="U17" s="7" t="str">
        <f>"0,0000"</f>
        <v>0,0000</v>
      </c>
      <c r="V17" s="6" t="s">
        <v>200</v>
      </c>
    </row>
    <row r="19" spans="1:22" ht="15">
      <c r="A19" s="48" t="s">
        <v>110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ht="12.75">
      <c r="A20" s="9" t="s">
        <v>671</v>
      </c>
      <c r="B20" s="9" t="s">
        <v>1892</v>
      </c>
      <c r="C20" s="9" t="s">
        <v>672</v>
      </c>
      <c r="D20" s="9" t="s">
        <v>673</v>
      </c>
      <c r="E20" s="9" t="str">
        <f>"1,0362"</f>
        <v>1,0362</v>
      </c>
      <c r="F20" s="9" t="s">
        <v>34</v>
      </c>
      <c r="G20" s="9" t="s">
        <v>674</v>
      </c>
      <c r="H20" s="11" t="s">
        <v>90</v>
      </c>
      <c r="I20" s="10" t="s">
        <v>222</v>
      </c>
      <c r="J20" s="11" t="s">
        <v>222</v>
      </c>
      <c r="K20" s="10"/>
      <c r="L20" s="11" t="s">
        <v>581</v>
      </c>
      <c r="M20" s="11" t="s">
        <v>124</v>
      </c>
      <c r="N20" s="11" t="s">
        <v>224</v>
      </c>
      <c r="O20" s="10"/>
      <c r="P20" s="11" t="s">
        <v>96</v>
      </c>
      <c r="Q20" s="11" t="s">
        <v>123</v>
      </c>
      <c r="R20" s="11" t="s">
        <v>39</v>
      </c>
      <c r="S20" s="10"/>
      <c r="T20" s="9" t="str">
        <f>"322,5"</f>
        <v>322,5</v>
      </c>
      <c r="U20" s="11" t="str">
        <f>"334,1745"</f>
        <v>334,1745</v>
      </c>
      <c r="V20" s="9" t="s">
        <v>675</v>
      </c>
    </row>
    <row r="21" spans="1:22" ht="12.75">
      <c r="A21" s="23" t="s">
        <v>676</v>
      </c>
      <c r="B21" s="23" t="s">
        <v>1890</v>
      </c>
      <c r="C21" s="23" t="s">
        <v>677</v>
      </c>
      <c r="D21" s="23" t="s">
        <v>678</v>
      </c>
      <c r="E21" s="23" t="str">
        <f>"1,0551"</f>
        <v>1,0551</v>
      </c>
      <c r="F21" s="23" t="s">
        <v>34</v>
      </c>
      <c r="G21" s="23" t="s">
        <v>679</v>
      </c>
      <c r="H21" s="25" t="s">
        <v>114</v>
      </c>
      <c r="I21" s="25" t="s">
        <v>115</v>
      </c>
      <c r="J21" s="25" t="s">
        <v>115</v>
      </c>
      <c r="K21" s="25"/>
      <c r="L21" s="25" t="s">
        <v>281</v>
      </c>
      <c r="M21" s="25"/>
      <c r="N21" s="25"/>
      <c r="O21" s="25"/>
      <c r="P21" s="25" t="s">
        <v>114</v>
      </c>
      <c r="Q21" s="25"/>
      <c r="R21" s="25"/>
      <c r="S21" s="25"/>
      <c r="T21" s="23" t="str">
        <f>"0,0"</f>
        <v>0,0</v>
      </c>
      <c r="U21" s="24" t="str">
        <f>"0,0000"</f>
        <v>0,0000</v>
      </c>
      <c r="V21" s="23" t="s">
        <v>680</v>
      </c>
    </row>
    <row r="22" spans="1:22" ht="12.75">
      <c r="A22" s="23" t="s">
        <v>681</v>
      </c>
      <c r="B22" s="23" t="s">
        <v>1888</v>
      </c>
      <c r="C22" s="23" t="s">
        <v>682</v>
      </c>
      <c r="D22" s="23" t="s">
        <v>683</v>
      </c>
      <c r="E22" s="23" t="str">
        <f>"1,0515"</f>
        <v>1,0515</v>
      </c>
      <c r="F22" s="23" t="s">
        <v>18</v>
      </c>
      <c r="G22" s="23" t="s">
        <v>19</v>
      </c>
      <c r="H22" s="24" t="s">
        <v>232</v>
      </c>
      <c r="I22" s="24" t="s">
        <v>91</v>
      </c>
      <c r="J22" s="24" t="s">
        <v>134</v>
      </c>
      <c r="K22" s="25"/>
      <c r="L22" s="24" t="s">
        <v>108</v>
      </c>
      <c r="M22" s="25" t="s">
        <v>98</v>
      </c>
      <c r="N22" s="24" t="s">
        <v>98</v>
      </c>
      <c r="O22" s="25"/>
      <c r="P22" s="24" t="s">
        <v>222</v>
      </c>
      <c r="Q22" s="24" t="s">
        <v>96</v>
      </c>
      <c r="R22" s="25" t="s">
        <v>39</v>
      </c>
      <c r="S22" s="25"/>
      <c r="T22" s="23" t="str">
        <f>"290,0"</f>
        <v>290,0</v>
      </c>
      <c r="U22" s="24" t="str">
        <f>"304,9350"</f>
        <v>304,9350</v>
      </c>
      <c r="V22" s="23" t="s">
        <v>684</v>
      </c>
    </row>
    <row r="23" spans="1:22" ht="12.75">
      <c r="A23" s="23" t="s">
        <v>685</v>
      </c>
      <c r="B23" s="23" t="s">
        <v>1888</v>
      </c>
      <c r="C23" s="23" t="s">
        <v>686</v>
      </c>
      <c r="D23" s="23" t="s">
        <v>687</v>
      </c>
      <c r="E23" s="23" t="str">
        <f>"1,0467"</f>
        <v>1,0467</v>
      </c>
      <c r="F23" s="23" t="s">
        <v>34</v>
      </c>
      <c r="G23" s="23" t="s">
        <v>167</v>
      </c>
      <c r="H23" s="24" t="s">
        <v>232</v>
      </c>
      <c r="I23" s="24" t="s">
        <v>275</v>
      </c>
      <c r="J23" s="24" t="s">
        <v>134</v>
      </c>
      <c r="K23" s="25"/>
      <c r="L23" s="24" t="s">
        <v>98</v>
      </c>
      <c r="M23" s="24" t="s">
        <v>99</v>
      </c>
      <c r="N23" s="24" t="s">
        <v>225</v>
      </c>
      <c r="O23" s="25"/>
      <c r="P23" s="24" t="s">
        <v>133</v>
      </c>
      <c r="Q23" s="24" t="s">
        <v>134</v>
      </c>
      <c r="R23" s="24" t="s">
        <v>221</v>
      </c>
      <c r="S23" s="25"/>
      <c r="T23" s="23" t="str">
        <f>"272,5"</f>
        <v>272,5</v>
      </c>
      <c r="U23" s="24" t="str">
        <f>"285,2258"</f>
        <v>285,2258</v>
      </c>
      <c r="V23" s="23" t="s">
        <v>688</v>
      </c>
    </row>
    <row r="24" spans="1:22" ht="12.75">
      <c r="A24" s="23" t="s">
        <v>676</v>
      </c>
      <c r="B24" s="23" t="s">
        <v>1890</v>
      </c>
      <c r="C24" s="23" t="s">
        <v>689</v>
      </c>
      <c r="D24" s="23" t="s">
        <v>678</v>
      </c>
      <c r="E24" s="23" t="str">
        <f>"1,0551"</f>
        <v>1,0551</v>
      </c>
      <c r="F24" s="23" t="s">
        <v>34</v>
      </c>
      <c r="G24" s="23" t="s">
        <v>679</v>
      </c>
      <c r="H24" s="25" t="s">
        <v>114</v>
      </c>
      <c r="I24" s="25" t="s">
        <v>115</v>
      </c>
      <c r="J24" s="25" t="s">
        <v>115</v>
      </c>
      <c r="K24" s="25"/>
      <c r="L24" s="25" t="s">
        <v>281</v>
      </c>
      <c r="M24" s="25"/>
      <c r="N24" s="25"/>
      <c r="O24" s="25"/>
      <c r="P24" s="25" t="s">
        <v>114</v>
      </c>
      <c r="Q24" s="25"/>
      <c r="R24" s="25"/>
      <c r="S24" s="25"/>
      <c r="T24" s="23" t="str">
        <f>"0,0"</f>
        <v>0,0</v>
      </c>
      <c r="U24" s="24" t="str">
        <f>"0,0000"</f>
        <v>0,0000</v>
      </c>
      <c r="V24" s="23" t="s">
        <v>680</v>
      </c>
    </row>
    <row r="25" spans="1:22" ht="12.75">
      <c r="A25" s="12" t="s">
        <v>690</v>
      </c>
      <c r="B25" s="12" t="s">
        <v>1890</v>
      </c>
      <c r="C25" s="12" t="s">
        <v>691</v>
      </c>
      <c r="D25" s="12" t="s">
        <v>575</v>
      </c>
      <c r="E25" s="12" t="str">
        <f>"1,0328"</f>
        <v>1,0328</v>
      </c>
      <c r="F25" s="12" t="s">
        <v>18</v>
      </c>
      <c r="G25" s="12" t="s">
        <v>19</v>
      </c>
      <c r="H25" s="13" t="s">
        <v>281</v>
      </c>
      <c r="I25" s="13"/>
      <c r="J25" s="13"/>
      <c r="K25" s="13"/>
      <c r="L25" s="13" t="s">
        <v>108</v>
      </c>
      <c r="M25" s="13"/>
      <c r="N25" s="13"/>
      <c r="O25" s="13"/>
      <c r="P25" s="13" t="s">
        <v>282</v>
      </c>
      <c r="Q25" s="13"/>
      <c r="R25" s="13"/>
      <c r="S25" s="13"/>
      <c r="T25" s="12" t="str">
        <f>"0,0"</f>
        <v>0,0</v>
      </c>
      <c r="U25" s="14" t="str">
        <f>"0,0000"</f>
        <v>0,0000</v>
      </c>
      <c r="V25" s="12" t="s">
        <v>578</v>
      </c>
    </row>
    <row r="27" spans="1:22" ht="15">
      <c r="A27" s="48" t="s">
        <v>128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ht="12.75">
      <c r="A28" s="9" t="s">
        <v>692</v>
      </c>
      <c r="B28" s="9" t="s">
        <v>1888</v>
      </c>
      <c r="C28" s="9" t="s">
        <v>693</v>
      </c>
      <c r="D28" s="9" t="s">
        <v>694</v>
      </c>
      <c r="E28" s="9" t="str">
        <f>"1,0048"</f>
        <v>1,0048</v>
      </c>
      <c r="F28" s="9" t="s">
        <v>18</v>
      </c>
      <c r="G28" s="9" t="s">
        <v>19</v>
      </c>
      <c r="H28" s="11" t="s">
        <v>222</v>
      </c>
      <c r="I28" s="11" t="s">
        <v>109</v>
      </c>
      <c r="J28" s="10" t="s">
        <v>96</v>
      </c>
      <c r="K28" s="10"/>
      <c r="L28" s="11" t="s">
        <v>98</v>
      </c>
      <c r="M28" s="11" t="s">
        <v>225</v>
      </c>
      <c r="N28" s="10" t="s">
        <v>581</v>
      </c>
      <c r="O28" s="10"/>
      <c r="P28" s="11" t="s">
        <v>91</v>
      </c>
      <c r="Q28" s="11" t="s">
        <v>90</v>
      </c>
      <c r="R28" s="10" t="s">
        <v>254</v>
      </c>
      <c r="S28" s="10"/>
      <c r="T28" s="9" t="str">
        <f>"295,0"</f>
        <v>295,0</v>
      </c>
      <c r="U28" s="11" t="str">
        <f>"296,4160"</f>
        <v>296,4160</v>
      </c>
      <c r="V28" s="9" t="s">
        <v>200</v>
      </c>
    </row>
    <row r="29" spans="1:22" ht="12.75">
      <c r="A29" s="23" t="s">
        <v>695</v>
      </c>
      <c r="B29" s="23" t="s">
        <v>1888</v>
      </c>
      <c r="C29" s="23" t="s">
        <v>696</v>
      </c>
      <c r="D29" s="23" t="s">
        <v>697</v>
      </c>
      <c r="E29" s="23" t="str">
        <f>"0,9734"</f>
        <v>0,9734</v>
      </c>
      <c r="F29" s="23" t="s">
        <v>18</v>
      </c>
      <c r="G29" s="23" t="s">
        <v>19</v>
      </c>
      <c r="H29" s="24" t="s">
        <v>281</v>
      </c>
      <c r="I29" s="24" t="s">
        <v>232</v>
      </c>
      <c r="J29" s="25" t="s">
        <v>91</v>
      </c>
      <c r="K29" s="25"/>
      <c r="L29" s="24" t="s">
        <v>97</v>
      </c>
      <c r="M29" s="24" t="s">
        <v>98</v>
      </c>
      <c r="N29" s="25" t="s">
        <v>225</v>
      </c>
      <c r="O29" s="25"/>
      <c r="P29" s="24" t="s">
        <v>232</v>
      </c>
      <c r="Q29" s="24" t="s">
        <v>91</v>
      </c>
      <c r="R29" s="24" t="s">
        <v>90</v>
      </c>
      <c r="S29" s="25"/>
      <c r="T29" s="23" t="str">
        <f>"255,0"</f>
        <v>255,0</v>
      </c>
      <c r="U29" s="24" t="str">
        <f>"280,4852"</f>
        <v>280,4852</v>
      </c>
      <c r="V29" s="23" t="s">
        <v>698</v>
      </c>
    </row>
    <row r="30" spans="1:22" ht="12.75">
      <c r="A30" s="12" t="s">
        <v>699</v>
      </c>
      <c r="B30" s="12" t="s">
        <v>1891</v>
      </c>
      <c r="C30" s="12" t="s">
        <v>700</v>
      </c>
      <c r="D30" s="12" t="s">
        <v>701</v>
      </c>
      <c r="E30" s="12" t="str">
        <f>"0,9613"</f>
        <v>0,9613</v>
      </c>
      <c r="F30" s="12" t="s">
        <v>58</v>
      </c>
      <c r="G30" s="12" t="s">
        <v>59</v>
      </c>
      <c r="H30" s="14" t="s">
        <v>91</v>
      </c>
      <c r="I30" s="13" t="s">
        <v>90</v>
      </c>
      <c r="J30" s="14" t="s">
        <v>222</v>
      </c>
      <c r="K30" s="13"/>
      <c r="L30" s="13" t="s">
        <v>124</v>
      </c>
      <c r="M30" s="13" t="s">
        <v>124</v>
      </c>
      <c r="N30" s="14" t="s">
        <v>124</v>
      </c>
      <c r="O30" s="13"/>
      <c r="P30" s="14" t="s">
        <v>91</v>
      </c>
      <c r="Q30" s="14" t="s">
        <v>90</v>
      </c>
      <c r="R30" s="14" t="s">
        <v>222</v>
      </c>
      <c r="S30" s="13"/>
      <c r="T30" s="12" t="str">
        <f>"295,0"</f>
        <v>295,0</v>
      </c>
      <c r="U30" s="14" t="str">
        <f>"380,0019"</f>
        <v>380,0019</v>
      </c>
      <c r="V30" s="12"/>
    </row>
    <row r="32" spans="1:22" ht="15">
      <c r="A32" s="48" t="s">
        <v>110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ht="12.75">
      <c r="A33" s="6" t="s">
        <v>702</v>
      </c>
      <c r="B33" s="6" t="s">
        <v>1889</v>
      </c>
      <c r="C33" s="6" t="s">
        <v>703</v>
      </c>
      <c r="D33" s="6" t="s">
        <v>461</v>
      </c>
      <c r="E33" s="6" t="str">
        <f>"0,7942"</f>
        <v>0,7942</v>
      </c>
      <c r="F33" s="6" t="s">
        <v>34</v>
      </c>
      <c r="G33" s="6" t="s">
        <v>352</v>
      </c>
      <c r="H33" s="7" t="s">
        <v>91</v>
      </c>
      <c r="I33" s="7" t="s">
        <v>222</v>
      </c>
      <c r="J33" s="8" t="s">
        <v>254</v>
      </c>
      <c r="K33" s="8"/>
      <c r="L33" s="8" t="s">
        <v>281</v>
      </c>
      <c r="M33" s="8" t="s">
        <v>87</v>
      </c>
      <c r="N33" s="7" t="s">
        <v>87</v>
      </c>
      <c r="O33" s="8"/>
      <c r="P33" s="7" t="s">
        <v>39</v>
      </c>
      <c r="Q33" s="7" t="s">
        <v>23</v>
      </c>
      <c r="R33" s="8" t="s">
        <v>114</v>
      </c>
      <c r="S33" s="8"/>
      <c r="T33" s="6" t="str">
        <f>"342,5"</f>
        <v>342,5</v>
      </c>
      <c r="U33" s="7" t="str">
        <f>"272,0135"</f>
        <v>272,0135</v>
      </c>
      <c r="V33" s="6"/>
    </row>
    <row r="35" spans="1:22" ht="15">
      <c r="A35" s="48" t="s">
        <v>128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ht="12.75">
      <c r="A36" s="9" t="s">
        <v>704</v>
      </c>
      <c r="B36" s="9" t="s">
        <v>1888</v>
      </c>
      <c r="C36" s="9" t="s">
        <v>705</v>
      </c>
      <c r="D36" s="9" t="s">
        <v>472</v>
      </c>
      <c r="E36" s="9" t="str">
        <f>"0,7398"</f>
        <v>0,7398</v>
      </c>
      <c r="F36" s="9" t="s">
        <v>34</v>
      </c>
      <c r="G36" s="9" t="s">
        <v>706</v>
      </c>
      <c r="H36" s="10" t="s">
        <v>115</v>
      </c>
      <c r="I36" s="11" t="s">
        <v>115</v>
      </c>
      <c r="J36" s="10" t="s">
        <v>151</v>
      </c>
      <c r="K36" s="10"/>
      <c r="L36" s="11" t="s">
        <v>232</v>
      </c>
      <c r="M36" s="11" t="s">
        <v>275</v>
      </c>
      <c r="N36" s="11" t="s">
        <v>91</v>
      </c>
      <c r="O36" s="10"/>
      <c r="P36" s="11" t="s">
        <v>118</v>
      </c>
      <c r="Q36" s="11" t="s">
        <v>152</v>
      </c>
      <c r="R36" s="10" t="s">
        <v>62</v>
      </c>
      <c r="S36" s="10"/>
      <c r="T36" s="9" t="str">
        <f>"445,0"</f>
        <v>445,0</v>
      </c>
      <c r="U36" s="11" t="str">
        <f>"329,2110"</f>
        <v>329,2110</v>
      </c>
      <c r="V36" s="9" t="s">
        <v>707</v>
      </c>
    </row>
    <row r="37" spans="1:22" ht="12.75">
      <c r="A37" s="23" t="s">
        <v>708</v>
      </c>
      <c r="B37" s="23" t="s">
        <v>1888</v>
      </c>
      <c r="C37" s="23" t="s">
        <v>709</v>
      </c>
      <c r="D37" s="23" t="s">
        <v>710</v>
      </c>
      <c r="E37" s="23" t="str">
        <f>"0,7494"</f>
        <v>0,7494</v>
      </c>
      <c r="F37" s="23" t="s">
        <v>34</v>
      </c>
      <c r="G37" s="23" t="s">
        <v>372</v>
      </c>
      <c r="H37" s="25" t="s">
        <v>151</v>
      </c>
      <c r="I37" s="25" t="s">
        <v>61</v>
      </c>
      <c r="J37" s="24" t="s">
        <v>61</v>
      </c>
      <c r="K37" s="25"/>
      <c r="L37" s="24" t="s">
        <v>232</v>
      </c>
      <c r="M37" s="25" t="s">
        <v>133</v>
      </c>
      <c r="N37" s="25" t="s">
        <v>133</v>
      </c>
      <c r="O37" s="25"/>
      <c r="P37" s="24" t="s">
        <v>152</v>
      </c>
      <c r="Q37" s="25" t="s">
        <v>62</v>
      </c>
      <c r="R37" s="25" t="s">
        <v>62</v>
      </c>
      <c r="S37" s="25"/>
      <c r="T37" s="23" t="str">
        <f>"455,0"</f>
        <v>455,0</v>
      </c>
      <c r="U37" s="24" t="str">
        <f>"340,9770"</f>
        <v>340,9770</v>
      </c>
      <c r="V37" s="23" t="s">
        <v>29</v>
      </c>
    </row>
    <row r="38" spans="1:22" ht="12.75">
      <c r="A38" s="23" t="s">
        <v>711</v>
      </c>
      <c r="B38" s="23" t="s">
        <v>1892</v>
      </c>
      <c r="C38" s="23" t="s">
        <v>712</v>
      </c>
      <c r="D38" s="23" t="s">
        <v>713</v>
      </c>
      <c r="E38" s="23" t="str">
        <f>"0,7146"</f>
        <v>0,7146</v>
      </c>
      <c r="F38" s="23" t="s">
        <v>18</v>
      </c>
      <c r="G38" s="23" t="s">
        <v>19</v>
      </c>
      <c r="H38" s="25" t="s">
        <v>152</v>
      </c>
      <c r="I38" s="24" t="s">
        <v>152</v>
      </c>
      <c r="J38" s="24" t="s">
        <v>64</v>
      </c>
      <c r="K38" s="25"/>
      <c r="L38" s="25" t="s">
        <v>109</v>
      </c>
      <c r="M38" s="24" t="s">
        <v>109</v>
      </c>
      <c r="N38" s="25" t="s">
        <v>96</v>
      </c>
      <c r="O38" s="25"/>
      <c r="P38" s="24" t="s">
        <v>61</v>
      </c>
      <c r="Q38" s="24" t="s">
        <v>63</v>
      </c>
      <c r="R38" s="24" t="s">
        <v>714</v>
      </c>
      <c r="S38" s="25"/>
      <c r="T38" s="23" t="str">
        <f>"527,5"</f>
        <v>527,5</v>
      </c>
      <c r="U38" s="24" t="str">
        <f>"376,9515"</f>
        <v>376,9515</v>
      </c>
      <c r="V38" s="23" t="s">
        <v>715</v>
      </c>
    </row>
    <row r="39" spans="1:22" ht="12.75">
      <c r="A39" s="23" t="s">
        <v>716</v>
      </c>
      <c r="B39" s="23" t="s">
        <v>1892</v>
      </c>
      <c r="C39" s="23" t="s">
        <v>717</v>
      </c>
      <c r="D39" s="23" t="s">
        <v>718</v>
      </c>
      <c r="E39" s="23" t="str">
        <f>"0,7293"</f>
        <v>0,7293</v>
      </c>
      <c r="F39" s="23" t="s">
        <v>34</v>
      </c>
      <c r="G39" s="23" t="s">
        <v>674</v>
      </c>
      <c r="H39" s="24" t="s">
        <v>115</v>
      </c>
      <c r="I39" s="24" t="s">
        <v>118</v>
      </c>
      <c r="J39" s="24" t="s">
        <v>152</v>
      </c>
      <c r="K39" s="25"/>
      <c r="L39" s="25" t="s">
        <v>91</v>
      </c>
      <c r="M39" s="25" t="s">
        <v>90</v>
      </c>
      <c r="N39" s="24" t="s">
        <v>90</v>
      </c>
      <c r="O39" s="25"/>
      <c r="P39" s="24" t="s">
        <v>61</v>
      </c>
      <c r="Q39" s="25" t="s">
        <v>64</v>
      </c>
      <c r="R39" s="24" t="s">
        <v>64</v>
      </c>
      <c r="S39" s="25"/>
      <c r="T39" s="23" t="str">
        <f>"495,0"</f>
        <v>495,0</v>
      </c>
      <c r="U39" s="24" t="str">
        <f>"361,0035"</f>
        <v>361,0035</v>
      </c>
      <c r="V39" s="23"/>
    </row>
    <row r="40" spans="1:22" ht="12.75">
      <c r="A40" s="12" t="s">
        <v>719</v>
      </c>
      <c r="B40" s="12" t="s">
        <v>1888</v>
      </c>
      <c r="C40" s="12" t="s">
        <v>720</v>
      </c>
      <c r="D40" s="12" t="s">
        <v>721</v>
      </c>
      <c r="E40" s="12" t="str">
        <f>"0,7235"</f>
        <v>0,7235</v>
      </c>
      <c r="F40" s="12" t="s">
        <v>18</v>
      </c>
      <c r="G40" s="12" t="s">
        <v>19</v>
      </c>
      <c r="H40" s="13" t="s">
        <v>115</v>
      </c>
      <c r="I40" s="14" t="s">
        <v>25</v>
      </c>
      <c r="J40" s="14" t="s">
        <v>151</v>
      </c>
      <c r="K40" s="13"/>
      <c r="L40" s="14" t="s">
        <v>100</v>
      </c>
      <c r="M40" s="14" t="s">
        <v>96</v>
      </c>
      <c r="N40" s="14" t="s">
        <v>123</v>
      </c>
      <c r="O40" s="13"/>
      <c r="P40" s="14" t="s">
        <v>115</v>
      </c>
      <c r="Q40" s="13" t="s">
        <v>61</v>
      </c>
      <c r="R40" s="13" t="s">
        <v>61</v>
      </c>
      <c r="S40" s="13"/>
      <c r="T40" s="12" t="str">
        <f>"470,0"</f>
        <v>470,0</v>
      </c>
      <c r="U40" s="14" t="str">
        <f>"340,0450"</f>
        <v>340,0450</v>
      </c>
      <c r="V40" s="12" t="s">
        <v>722</v>
      </c>
    </row>
    <row r="42" spans="1:22" ht="15">
      <c r="A42" s="48" t="s">
        <v>13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>
      <c r="A43" s="9" t="s">
        <v>724</v>
      </c>
      <c r="B43" s="9" t="s">
        <v>1895</v>
      </c>
      <c r="C43" s="9" t="s">
        <v>725</v>
      </c>
      <c r="D43" s="9" t="s">
        <v>17</v>
      </c>
      <c r="E43" s="9" t="str">
        <f>"0,6699"</f>
        <v>0,6699</v>
      </c>
      <c r="F43" s="9" t="s">
        <v>34</v>
      </c>
      <c r="G43" s="9" t="s">
        <v>367</v>
      </c>
      <c r="H43" s="10" t="s">
        <v>49</v>
      </c>
      <c r="I43" s="11" t="s">
        <v>49</v>
      </c>
      <c r="J43" s="10" t="s">
        <v>72</v>
      </c>
      <c r="K43" s="10"/>
      <c r="L43" s="11" t="s">
        <v>305</v>
      </c>
      <c r="M43" s="11" t="s">
        <v>25</v>
      </c>
      <c r="N43" s="10" t="s">
        <v>118</v>
      </c>
      <c r="O43" s="10"/>
      <c r="P43" s="11" t="s">
        <v>49</v>
      </c>
      <c r="Q43" s="10" t="s">
        <v>52</v>
      </c>
      <c r="R43" s="11" t="s">
        <v>52</v>
      </c>
      <c r="S43" s="10"/>
      <c r="T43" s="9" t="str">
        <f>"680,0"</f>
        <v>680,0</v>
      </c>
      <c r="U43" s="11" t="str">
        <f>"455,5320"</f>
        <v>455,5320</v>
      </c>
      <c r="V43" s="9" t="s">
        <v>29</v>
      </c>
    </row>
    <row r="44" spans="1:22" ht="12.75">
      <c r="A44" s="23" t="s">
        <v>726</v>
      </c>
      <c r="B44" s="23" t="s">
        <v>1892</v>
      </c>
      <c r="C44" s="23" t="s">
        <v>727</v>
      </c>
      <c r="D44" s="23" t="s">
        <v>728</v>
      </c>
      <c r="E44" s="23" t="str">
        <f>"0,6785"</f>
        <v>0,6785</v>
      </c>
      <c r="F44" s="23" t="s">
        <v>18</v>
      </c>
      <c r="G44" s="23" t="s">
        <v>19</v>
      </c>
      <c r="H44" s="24" t="s">
        <v>61</v>
      </c>
      <c r="I44" s="24" t="s">
        <v>62</v>
      </c>
      <c r="J44" s="24" t="s">
        <v>64</v>
      </c>
      <c r="K44" s="25"/>
      <c r="L44" s="24" t="s">
        <v>39</v>
      </c>
      <c r="M44" s="24" t="s">
        <v>40</v>
      </c>
      <c r="N44" s="24" t="s">
        <v>114</v>
      </c>
      <c r="O44" s="25"/>
      <c r="P44" s="24" t="s">
        <v>61</v>
      </c>
      <c r="Q44" s="24" t="s">
        <v>62</v>
      </c>
      <c r="R44" s="24" t="s">
        <v>64</v>
      </c>
      <c r="S44" s="25"/>
      <c r="T44" s="23" t="str">
        <f>"550,0"</f>
        <v>550,0</v>
      </c>
      <c r="U44" s="24" t="str">
        <f>"373,1750"</f>
        <v>373,1750</v>
      </c>
      <c r="V44" s="23" t="s">
        <v>200</v>
      </c>
    </row>
    <row r="45" spans="1:22" ht="12.75">
      <c r="A45" s="12" t="s">
        <v>729</v>
      </c>
      <c r="B45" s="12" t="s">
        <v>1890</v>
      </c>
      <c r="C45" s="12" t="s">
        <v>730</v>
      </c>
      <c r="D45" s="12" t="s">
        <v>602</v>
      </c>
      <c r="E45" s="12" t="str">
        <f>"0,6811"</f>
        <v>0,6811</v>
      </c>
      <c r="F45" s="12" t="s">
        <v>34</v>
      </c>
      <c r="G45" s="12" t="s">
        <v>731</v>
      </c>
      <c r="H45" s="13" t="s">
        <v>115</v>
      </c>
      <c r="I45" s="13" t="s">
        <v>115</v>
      </c>
      <c r="J45" s="13" t="s">
        <v>115</v>
      </c>
      <c r="K45" s="13"/>
      <c r="L45" s="13" t="s">
        <v>96</v>
      </c>
      <c r="M45" s="13"/>
      <c r="N45" s="13"/>
      <c r="O45" s="13"/>
      <c r="P45" s="13" t="s">
        <v>62</v>
      </c>
      <c r="Q45" s="13"/>
      <c r="R45" s="13"/>
      <c r="S45" s="13"/>
      <c r="T45" s="12" t="str">
        <f>"0,0"</f>
        <v>0,0</v>
      </c>
      <c r="U45" s="14" t="str">
        <f>"0,0000"</f>
        <v>0,0000</v>
      </c>
      <c r="V45" s="12" t="s">
        <v>29</v>
      </c>
    </row>
    <row r="47" spans="1:22" ht="15">
      <c r="A47" s="48" t="s">
        <v>155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ht="12.75">
      <c r="A48" s="9" t="s">
        <v>732</v>
      </c>
      <c r="B48" s="9" t="s">
        <v>1888</v>
      </c>
      <c r="C48" s="9" t="s">
        <v>733</v>
      </c>
      <c r="D48" s="9" t="s">
        <v>734</v>
      </c>
      <c r="E48" s="9" t="str">
        <f>"0,6440"</f>
        <v>0,6440</v>
      </c>
      <c r="F48" s="9" t="s">
        <v>18</v>
      </c>
      <c r="G48" s="9" t="s">
        <v>19</v>
      </c>
      <c r="H48" s="11" t="s">
        <v>118</v>
      </c>
      <c r="I48" s="10" t="s">
        <v>61</v>
      </c>
      <c r="J48" s="10" t="s">
        <v>61</v>
      </c>
      <c r="K48" s="10"/>
      <c r="L48" s="11" t="s">
        <v>23</v>
      </c>
      <c r="M48" s="10" t="s">
        <v>114</v>
      </c>
      <c r="N48" s="10" t="s">
        <v>114</v>
      </c>
      <c r="O48" s="10"/>
      <c r="P48" s="11" t="s">
        <v>64</v>
      </c>
      <c r="Q48" s="10" t="s">
        <v>20</v>
      </c>
      <c r="R48" s="10" t="s">
        <v>20</v>
      </c>
      <c r="S48" s="10"/>
      <c r="T48" s="9" t="str">
        <f>"515,0"</f>
        <v>515,0</v>
      </c>
      <c r="U48" s="11" t="str">
        <f>"331,6600"</f>
        <v>331,6600</v>
      </c>
      <c r="V48" s="9"/>
    </row>
    <row r="49" spans="1:22" ht="12.75">
      <c r="A49" s="23" t="s">
        <v>735</v>
      </c>
      <c r="B49" s="23" t="s">
        <v>1891</v>
      </c>
      <c r="C49" s="23" t="s">
        <v>736</v>
      </c>
      <c r="D49" s="23" t="s">
        <v>158</v>
      </c>
      <c r="E49" s="23" t="str">
        <f>"0,6417"</f>
        <v>0,6417</v>
      </c>
      <c r="F49" s="23" t="s">
        <v>18</v>
      </c>
      <c r="G49" s="23" t="s">
        <v>19</v>
      </c>
      <c r="H49" s="25" t="s">
        <v>22</v>
      </c>
      <c r="I49" s="24" t="s">
        <v>22</v>
      </c>
      <c r="J49" s="24" t="s">
        <v>49</v>
      </c>
      <c r="K49" s="25"/>
      <c r="L49" s="25" t="s">
        <v>39</v>
      </c>
      <c r="M49" s="24" t="s">
        <v>39</v>
      </c>
      <c r="N49" s="25" t="s">
        <v>114</v>
      </c>
      <c r="O49" s="25"/>
      <c r="P49" s="24" t="s">
        <v>37</v>
      </c>
      <c r="Q49" s="24" t="s">
        <v>60</v>
      </c>
      <c r="R49" s="25" t="s">
        <v>22</v>
      </c>
      <c r="S49" s="25"/>
      <c r="T49" s="23" t="str">
        <f>"620,0"</f>
        <v>620,0</v>
      </c>
      <c r="U49" s="24" t="str">
        <f>"397,8540"</f>
        <v>397,8540</v>
      </c>
      <c r="V49" s="23"/>
    </row>
    <row r="50" spans="1:22" ht="12.75">
      <c r="A50" s="23" t="s">
        <v>737</v>
      </c>
      <c r="B50" s="23" t="s">
        <v>1890</v>
      </c>
      <c r="C50" s="23" t="s">
        <v>738</v>
      </c>
      <c r="D50" s="23" t="s">
        <v>325</v>
      </c>
      <c r="E50" s="23" t="str">
        <f>"0,6495"</f>
        <v>0,6495</v>
      </c>
      <c r="F50" s="23" t="s">
        <v>34</v>
      </c>
      <c r="G50" s="23" t="s">
        <v>167</v>
      </c>
      <c r="H50" s="25" t="s">
        <v>20</v>
      </c>
      <c r="I50" s="25" t="s">
        <v>20</v>
      </c>
      <c r="J50" s="25" t="s">
        <v>20</v>
      </c>
      <c r="K50" s="25"/>
      <c r="L50" s="25" t="s">
        <v>114</v>
      </c>
      <c r="M50" s="25"/>
      <c r="N50" s="25"/>
      <c r="O50" s="25"/>
      <c r="P50" s="25" t="s">
        <v>321</v>
      </c>
      <c r="Q50" s="25"/>
      <c r="R50" s="25"/>
      <c r="S50" s="25"/>
      <c r="T50" s="23" t="str">
        <f>"0,0"</f>
        <v>0,0</v>
      </c>
      <c r="U50" s="24" t="str">
        <f>"0,0000"</f>
        <v>0,0000</v>
      </c>
      <c r="V50" s="23"/>
    </row>
    <row r="51" spans="1:22" ht="12.75">
      <c r="A51" s="23" t="s">
        <v>739</v>
      </c>
      <c r="B51" s="23" t="s">
        <v>1892</v>
      </c>
      <c r="C51" s="23" t="s">
        <v>740</v>
      </c>
      <c r="D51" s="23" t="s">
        <v>741</v>
      </c>
      <c r="E51" s="23" t="str">
        <f>"0,6428"</f>
        <v>0,6428</v>
      </c>
      <c r="F51" s="23" t="s">
        <v>18</v>
      </c>
      <c r="G51" s="23" t="s">
        <v>19</v>
      </c>
      <c r="H51" s="24" t="s">
        <v>115</v>
      </c>
      <c r="I51" s="24" t="s">
        <v>61</v>
      </c>
      <c r="J51" s="25" t="s">
        <v>62</v>
      </c>
      <c r="K51" s="25"/>
      <c r="L51" s="24" t="s">
        <v>100</v>
      </c>
      <c r="M51" s="25" t="s">
        <v>109</v>
      </c>
      <c r="N51" s="25" t="s">
        <v>109</v>
      </c>
      <c r="O51" s="25"/>
      <c r="P51" s="24" t="s">
        <v>61</v>
      </c>
      <c r="Q51" s="24" t="s">
        <v>62</v>
      </c>
      <c r="R51" s="25" t="s">
        <v>64</v>
      </c>
      <c r="S51" s="25"/>
      <c r="T51" s="23" t="str">
        <f>"490,0"</f>
        <v>490,0</v>
      </c>
      <c r="U51" s="24" t="str">
        <f>"372,9268"</f>
        <v>372,9268</v>
      </c>
      <c r="V51" s="23" t="s">
        <v>29</v>
      </c>
    </row>
    <row r="52" spans="1:22" ht="12.75">
      <c r="A52" s="12" t="s">
        <v>742</v>
      </c>
      <c r="B52" s="12" t="s">
        <v>1891</v>
      </c>
      <c r="C52" s="12" t="s">
        <v>743</v>
      </c>
      <c r="D52" s="12" t="s">
        <v>744</v>
      </c>
      <c r="E52" s="12" t="str">
        <f>"0,6467"</f>
        <v>0,6467</v>
      </c>
      <c r="F52" s="12" t="s">
        <v>745</v>
      </c>
      <c r="G52" s="12" t="s">
        <v>746</v>
      </c>
      <c r="H52" s="14" t="s">
        <v>151</v>
      </c>
      <c r="I52" s="14" t="s">
        <v>152</v>
      </c>
      <c r="J52" s="13" t="s">
        <v>747</v>
      </c>
      <c r="K52" s="13"/>
      <c r="L52" s="14" t="s">
        <v>263</v>
      </c>
      <c r="M52" s="14" t="s">
        <v>275</v>
      </c>
      <c r="N52" s="13" t="s">
        <v>91</v>
      </c>
      <c r="O52" s="13"/>
      <c r="P52" s="14" t="s">
        <v>64</v>
      </c>
      <c r="Q52" s="14" t="s">
        <v>321</v>
      </c>
      <c r="R52" s="14" t="s">
        <v>20</v>
      </c>
      <c r="S52" s="13"/>
      <c r="T52" s="12" t="str">
        <f>"492,5"</f>
        <v>492,5</v>
      </c>
      <c r="U52" s="14" t="str">
        <f>"452,5882"</f>
        <v>452,5882</v>
      </c>
      <c r="V52" s="12" t="s">
        <v>29</v>
      </c>
    </row>
    <row r="54" spans="1:22" ht="15">
      <c r="A54" s="48" t="s">
        <v>30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ht="12.75">
      <c r="A55" s="9" t="s">
        <v>748</v>
      </c>
      <c r="B55" s="9" t="s">
        <v>1889</v>
      </c>
      <c r="C55" s="9" t="s">
        <v>749</v>
      </c>
      <c r="D55" s="9" t="s">
        <v>342</v>
      </c>
      <c r="E55" s="9" t="str">
        <f>"0,6129"</f>
        <v>0,6129</v>
      </c>
      <c r="F55" s="9" t="s">
        <v>18</v>
      </c>
      <c r="G55" s="9" t="s">
        <v>19</v>
      </c>
      <c r="H55" s="11" t="s">
        <v>39</v>
      </c>
      <c r="I55" s="11" t="s">
        <v>23</v>
      </c>
      <c r="J55" s="11" t="s">
        <v>24</v>
      </c>
      <c r="K55" s="10"/>
      <c r="L55" s="11" t="s">
        <v>133</v>
      </c>
      <c r="M55" s="10" t="s">
        <v>91</v>
      </c>
      <c r="N55" s="10" t="s">
        <v>91</v>
      </c>
      <c r="O55" s="10"/>
      <c r="P55" s="11" t="s">
        <v>24</v>
      </c>
      <c r="Q55" s="11" t="s">
        <v>25</v>
      </c>
      <c r="R55" s="11" t="s">
        <v>118</v>
      </c>
      <c r="S55" s="10"/>
      <c r="T55" s="9" t="str">
        <f>"420,0"</f>
        <v>420,0</v>
      </c>
      <c r="U55" s="11" t="str">
        <f>"257,4180"</f>
        <v>257,4180</v>
      </c>
      <c r="V55" s="9" t="s">
        <v>750</v>
      </c>
    </row>
    <row r="56" spans="1:22" ht="12.75">
      <c r="A56" s="23" t="s">
        <v>751</v>
      </c>
      <c r="B56" s="23" t="s">
        <v>1892</v>
      </c>
      <c r="C56" s="23" t="s">
        <v>752</v>
      </c>
      <c r="D56" s="23" t="s">
        <v>753</v>
      </c>
      <c r="E56" s="23" t="str">
        <f>"0,6098"</f>
        <v>0,6098</v>
      </c>
      <c r="F56" s="23" t="s">
        <v>18</v>
      </c>
      <c r="G56" s="23" t="s">
        <v>19</v>
      </c>
      <c r="H56" s="24" t="s">
        <v>42</v>
      </c>
      <c r="I56" s="24" t="s">
        <v>21</v>
      </c>
      <c r="J56" s="24" t="s">
        <v>26</v>
      </c>
      <c r="K56" s="25"/>
      <c r="L56" s="25" t="s">
        <v>109</v>
      </c>
      <c r="M56" s="24" t="s">
        <v>109</v>
      </c>
      <c r="N56" s="25" t="s">
        <v>123</v>
      </c>
      <c r="O56" s="25"/>
      <c r="P56" s="24" t="s">
        <v>37</v>
      </c>
      <c r="Q56" s="24" t="s">
        <v>21</v>
      </c>
      <c r="R56" s="24" t="s">
        <v>26</v>
      </c>
      <c r="S56" s="25"/>
      <c r="T56" s="23" t="str">
        <f>"595,0"</f>
        <v>595,0</v>
      </c>
      <c r="U56" s="24" t="str">
        <f>"362,8310"</f>
        <v>362,8310</v>
      </c>
      <c r="V56" s="23" t="s">
        <v>754</v>
      </c>
    </row>
    <row r="57" spans="1:22" ht="12.75">
      <c r="A57" s="23" t="s">
        <v>756</v>
      </c>
      <c r="B57" s="23" t="s">
        <v>1891</v>
      </c>
      <c r="C57" s="23" t="s">
        <v>757</v>
      </c>
      <c r="D57" s="23" t="s">
        <v>371</v>
      </c>
      <c r="E57" s="23" t="str">
        <f>"0,6161"</f>
        <v>0,6161</v>
      </c>
      <c r="F57" s="23" t="s">
        <v>18</v>
      </c>
      <c r="G57" s="23" t="s">
        <v>19</v>
      </c>
      <c r="H57" s="24" t="s">
        <v>49</v>
      </c>
      <c r="I57" s="24" t="s">
        <v>52</v>
      </c>
      <c r="J57" s="25" t="s">
        <v>53</v>
      </c>
      <c r="K57" s="25"/>
      <c r="L57" s="24" t="s">
        <v>114</v>
      </c>
      <c r="M57" s="24" t="s">
        <v>115</v>
      </c>
      <c r="N57" s="24" t="s">
        <v>118</v>
      </c>
      <c r="O57" s="25"/>
      <c r="P57" s="24" t="s">
        <v>37</v>
      </c>
      <c r="Q57" s="24" t="s">
        <v>22</v>
      </c>
      <c r="R57" s="24" t="s">
        <v>72</v>
      </c>
      <c r="S57" s="25"/>
      <c r="T57" s="23" t="str">
        <f>"695,0"</f>
        <v>695,0</v>
      </c>
      <c r="U57" s="24" t="str">
        <f>"428,1895"</f>
        <v>428,1895</v>
      </c>
      <c r="V57" s="23" t="s">
        <v>758</v>
      </c>
    </row>
    <row r="58" spans="1:22" ht="12.75">
      <c r="A58" s="23" t="s">
        <v>759</v>
      </c>
      <c r="B58" s="23" t="s">
        <v>1891</v>
      </c>
      <c r="C58" s="23" t="s">
        <v>760</v>
      </c>
      <c r="D58" s="23" t="s">
        <v>379</v>
      </c>
      <c r="E58" s="23" t="str">
        <f>"0,6152"</f>
        <v>0,6152</v>
      </c>
      <c r="F58" s="23" t="s">
        <v>18</v>
      </c>
      <c r="G58" s="23" t="s">
        <v>19</v>
      </c>
      <c r="H58" s="24" t="s">
        <v>37</v>
      </c>
      <c r="I58" s="24" t="s">
        <v>22</v>
      </c>
      <c r="J58" s="24" t="s">
        <v>49</v>
      </c>
      <c r="K58" s="25"/>
      <c r="L58" s="24" t="s">
        <v>115</v>
      </c>
      <c r="M58" s="24" t="s">
        <v>118</v>
      </c>
      <c r="N58" s="24" t="s">
        <v>61</v>
      </c>
      <c r="O58" s="25"/>
      <c r="P58" s="24" t="s">
        <v>20</v>
      </c>
      <c r="Q58" s="24" t="s">
        <v>60</v>
      </c>
      <c r="R58" s="24" t="s">
        <v>22</v>
      </c>
      <c r="S58" s="25"/>
      <c r="T58" s="23" t="str">
        <f>"670,0"</f>
        <v>670,0</v>
      </c>
      <c r="U58" s="24" t="str">
        <f>"412,1840"</f>
        <v>412,1840</v>
      </c>
      <c r="V58" s="23" t="s">
        <v>698</v>
      </c>
    </row>
    <row r="59" spans="1:22" ht="12.75">
      <c r="A59" s="23" t="s">
        <v>761</v>
      </c>
      <c r="B59" s="23" t="s">
        <v>1891</v>
      </c>
      <c r="C59" s="23" t="s">
        <v>762</v>
      </c>
      <c r="D59" s="23" t="s">
        <v>753</v>
      </c>
      <c r="E59" s="23" t="str">
        <f>"0,6098"</f>
        <v>0,6098</v>
      </c>
      <c r="F59" s="23" t="s">
        <v>18</v>
      </c>
      <c r="G59" s="23" t="s">
        <v>19</v>
      </c>
      <c r="H59" s="25" t="s">
        <v>21</v>
      </c>
      <c r="I59" s="24" t="s">
        <v>21</v>
      </c>
      <c r="J59" s="24" t="s">
        <v>26</v>
      </c>
      <c r="K59" s="25"/>
      <c r="L59" s="24" t="s">
        <v>39</v>
      </c>
      <c r="M59" s="24" t="s">
        <v>23</v>
      </c>
      <c r="N59" s="25"/>
      <c r="O59" s="25"/>
      <c r="P59" s="24" t="s">
        <v>72</v>
      </c>
      <c r="Q59" s="25" t="s">
        <v>160</v>
      </c>
      <c r="R59" s="25"/>
      <c r="S59" s="25"/>
      <c r="T59" s="23" t="str">
        <f>"640,0"</f>
        <v>640,0</v>
      </c>
      <c r="U59" s="24" t="str">
        <f>"390,2720"</f>
        <v>390,2720</v>
      </c>
      <c r="V59" s="23" t="s">
        <v>763</v>
      </c>
    </row>
    <row r="60" spans="1:22" ht="12.75">
      <c r="A60" s="23" t="s">
        <v>764</v>
      </c>
      <c r="B60" s="23" t="s">
        <v>1892</v>
      </c>
      <c r="C60" s="23" t="s">
        <v>765</v>
      </c>
      <c r="D60" s="23" t="s">
        <v>766</v>
      </c>
      <c r="E60" s="23" t="str">
        <f>"0,6142"</f>
        <v>0,6142</v>
      </c>
      <c r="F60" s="23" t="s">
        <v>34</v>
      </c>
      <c r="G60" s="23" t="s">
        <v>767</v>
      </c>
      <c r="H60" s="24" t="s">
        <v>37</v>
      </c>
      <c r="I60" s="24" t="s">
        <v>60</v>
      </c>
      <c r="J60" s="25" t="s">
        <v>22</v>
      </c>
      <c r="K60" s="25"/>
      <c r="L60" s="24" t="s">
        <v>123</v>
      </c>
      <c r="M60" s="24" t="s">
        <v>39</v>
      </c>
      <c r="N60" s="25"/>
      <c r="O60" s="25"/>
      <c r="P60" s="24" t="s">
        <v>42</v>
      </c>
      <c r="Q60" s="24" t="s">
        <v>21</v>
      </c>
      <c r="R60" s="25" t="s">
        <v>26</v>
      </c>
      <c r="S60" s="25"/>
      <c r="T60" s="23" t="str">
        <f>"595,0"</f>
        <v>595,0</v>
      </c>
      <c r="U60" s="24" t="str">
        <f>"365,4490"</f>
        <v>365,4490</v>
      </c>
      <c r="V60" s="23" t="s">
        <v>768</v>
      </c>
    </row>
    <row r="61" spans="1:22" ht="12.75">
      <c r="A61" s="12" t="s">
        <v>769</v>
      </c>
      <c r="B61" s="12" t="s">
        <v>1888</v>
      </c>
      <c r="C61" s="12" t="s">
        <v>770</v>
      </c>
      <c r="D61" s="12" t="s">
        <v>753</v>
      </c>
      <c r="E61" s="12" t="str">
        <f>"0,6098"</f>
        <v>0,6098</v>
      </c>
      <c r="F61" s="12" t="s">
        <v>34</v>
      </c>
      <c r="G61" s="12" t="s">
        <v>352</v>
      </c>
      <c r="H61" s="14" t="s">
        <v>100</v>
      </c>
      <c r="I61" s="14" t="s">
        <v>96</v>
      </c>
      <c r="J61" s="14" t="s">
        <v>39</v>
      </c>
      <c r="K61" s="13"/>
      <c r="L61" s="14" t="s">
        <v>134</v>
      </c>
      <c r="M61" s="14" t="s">
        <v>90</v>
      </c>
      <c r="N61" s="14" t="s">
        <v>258</v>
      </c>
      <c r="O61" s="13"/>
      <c r="P61" s="14" t="s">
        <v>114</v>
      </c>
      <c r="Q61" s="14" t="s">
        <v>25</v>
      </c>
      <c r="R61" s="14" t="s">
        <v>151</v>
      </c>
      <c r="S61" s="13"/>
      <c r="T61" s="12" t="str">
        <f>"427,5"</f>
        <v>427,5</v>
      </c>
      <c r="U61" s="14" t="str">
        <f>"377,9998"</f>
        <v>377,9998</v>
      </c>
      <c r="V61" s="12" t="s">
        <v>353</v>
      </c>
    </row>
    <row r="63" spans="1:22" ht="15">
      <c r="A63" s="48" t="s">
        <v>45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1:22" ht="12.75">
      <c r="A64" s="9" t="s">
        <v>771</v>
      </c>
      <c r="B64" s="9" t="s">
        <v>1892</v>
      </c>
      <c r="C64" s="9" t="s">
        <v>772</v>
      </c>
      <c r="D64" s="9" t="s">
        <v>203</v>
      </c>
      <c r="E64" s="9" t="str">
        <f>"0,5921"</f>
        <v>0,5921</v>
      </c>
      <c r="F64" s="9" t="s">
        <v>18</v>
      </c>
      <c r="G64" s="9" t="s">
        <v>19</v>
      </c>
      <c r="H64" s="11" t="s">
        <v>22</v>
      </c>
      <c r="I64" s="11" t="s">
        <v>27</v>
      </c>
      <c r="J64" s="11" t="s">
        <v>49</v>
      </c>
      <c r="K64" s="10"/>
      <c r="L64" s="11" t="s">
        <v>114</v>
      </c>
      <c r="M64" s="11" t="s">
        <v>115</v>
      </c>
      <c r="N64" s="10" t="s">
        <v>25</v>
      </c>
      <c r="O64" s="10"/>
      <c r="P64" s="11" t="s">
        <v>60</v>
      </c>
      <c r="Q64" s="10" t="s">
        <v>773</v>
      </c>
      <c r="R64" s="10" t="s">
        <v>28</v>
      </c>
      <c r="S64" s="10"/>
      <c r="T64" s="9" t="str">
        <f>"640,0"</f>
        <v>640,0</v>
      </c>
      <c r="U64" s="11" t="str">
        <f>"378,9440"</f>
        <v>378,9440</v>
      </c>
      <c r="V64" s="9" t="s">
        <v>774</v>
      </c>
    </row>
    <row r="65" spans="1:22" ht="12.75">
      <c r="A65" s="23" t="s">
        <v>775</v>
      </c>
      <c r="B65" s="23" t="s">
        <v>1892</v>
      </c>
      <c r="C65" s="23" t="s">
        <v>776</v>
      </c>
      <c r="D65" s="23" t="s">
        <v>777</v>
      </c>
      <c r="E65" s="23" t="str">
        <f>"0,6050"</f>
        <v>0,6050</v>
      </c>
      <c r="F65" s="23" t="s">
        <v>18</v>
      </c>
      <c r="G65" s="23" t="s">
        <v>19</v>
      </c>
      <c r="H65" s="25" t="s">
        <v>27</v>
      </c>
      <c r="I65" s="24" t="s">
        <v>27</v>
      </c>
      <c r="J65" s="25" t="s">
        <v>49</v>
      </c>
      <c r="K65" s="25"/>
      <c r="L65" s="24" t="s">
        <v>24</v>
      </c>
      <c r="M65" s="24" t="s">
        <v>115</v>
      </c>
      <c r="N65" s="25" t="s">
        <v>25</v>
      </c>
      <c r="O65" s="25"/>
      <c r="P65" s="24" t="s">
        <v>49</v>
      </c>
      <c r="Q65" s="25" t="s">
        <v>72</v>
      </c>
      <c r="R65" s="25" t="s">
        <v>72</v>
      </c>
      <c r="S65" s="25"/>
      <c r="T65" s="23" t="str">
        <f>"655,0"</f>
        <v>655,0</v>
      </c>
      <c r="U65" s="24" t="str">
        <f>"396,2750"</f>
        <v>396,2750</v>
      </c>
      <c r="V65" s="26" t="s">
        <v>1627</v>
      </c>
    </row>
    <row r="66" spans="1:22" ht="12.75">
      <c r="A66" s="23" t="s">
        <v>778</v>
      </c>
      <c r="B66" s="23" t="s">
        <v>1891</v>
      </c>
      <c r="C66" s="23" t="s">
        <v>779</v>
      </c>
      <c r="D66" s="23" t="s">
        <v>780</v>
      </c>
      <c r="E66" s="23" t="str">
        <f>"0,5948"</f>
        <v>0,5948</v>
      </c>
      <c r="F66" s="23" t="s">
        <v>18</v>
      </c>
      <c r="G66" s="23" t="s">
        <v>19</v>
      </c>
      <c r="H66" s="24" t="s">
        <v>26</v>
      </c>
      <c r="I66" s="24" t="s">
        <v>49</v>
      </c>
      <c r="J66" s="25" t="s">
        <v>52</v>
      </c>
      <c r="K66" s="25"/>
      <c r="L66" s="24" t="s">
        <v>118</v>
      </c>
      <c r="M66" s="25" t="s">
        <v>61</v>
      </c>
      <c r="N66" s="25" t="s">
        <v>152</v>
      </c>
      <c r="O66" s="25"/>
      <c r="P66" s="24" t="s">
        <v>21</v>
      </c>
      <c r="Q66" s="25" t="s">
        <v>22</v>
      </c>
      <c r="R66" s="24" t="s">
        <v>27</v>
      </c>
      <c r="S66" s="25"/>
      <c r="T66" s="23" t="str">
        <f>"665,0"</f>
        <v>665,0</v>
      </c>
      <c r="U66" s="24" t="str">
        <f>"395,5420"</f>
        <v>395,5420</v>
      </c>
      <c r="V66" s="23"/>
    </row>
    <row r="67" spans="1:22" ht="12.75">
      <c r="A67" s="23" t="s">
        <v>781</v>
      </c>
      <c r="B67" s="23" t="s">
        <v>1892</v>
      </c>
      <c r="C67" s="23" t="s">
        <v>782</v>
      </c>
      <c r="D67" s="23" t="s">
        <v>777</v>
      </c>
      <c r="E67" s="23" t="str">
        <f>"0,6050"</f>
        <v>0,6050</v>
      </c>
      <c r="F67" s="23" t="s">
        <v>18</v>
      </c>
      <c r="G67" s="23" t="s">
        <v>19</v>
      </c>
      <c r="H67" s="25" t="s">
        <v>27</v>
      </c>
      <c r="I67" s="24" t="s">
        <v>27</v>
      </c>
      <c r="J67" s="25" t="s">
        <v>49</v>
      </c>
      <c r="K67" s="25"/>
      <c r="L67" s="24" t="s">
        <v>24</v>
      </c>
      <c r="M67" s="24" t="s">
        <v>115</v>
      </c>
      <c r="N67" s="25" t="s">
        <v>25</v>
      </c>
      <c r="O67" s="25"/>
      <c r="P67" s="24" t="s">
        <v>49</v>
      </c>
      <c r="Q67" s="25" t="s">
        <v>72</v>
      </c>
      <c r="R67" s="25" t="s">
        <v>72</v>
      </c>
      <c r="S67" s="25"/>
      <c r="T67" s="23" t="str">
        <f>"655,0"</f>
        <v>655,0</v>
      </c>
      <c r="U67" s="24" t="str">
        <f>"396,2750"</f>
        <v>396,2750</v>
      </c>
      <c r="V67" s="26" t="s">
        <v>1627</v>
      </c>
    </row>
    <row r="68" spans="1:22" ht="12.75">
      <c r="A68" s="23" t="s">
        <v>783</v>
      </c>
      <c r="B68" s="23" t="s">
        <v>1892</v>
      </c>
      <c r="C68" s="23" t="s">
        <v>784</v>
      </c>
      <c r="D68" s="23" t="s">
        <v>785</v>
      </c>
      <c r="E68" s="23" t="str">
        <f>"0,5887"</f>
        <v>0,5887</v>
      </c>
      <c r="F68" s="23" t="s">
        <v>18</v>
      </c>
      <c r="G68" s="23" t="s">
        <v>19</v>
      </c>
      <c r="H68" s="24" t="s">
        <v>37</v>
      </c>
      <c r="I68" s="24" t="s">
        <v>60</v>
      </c>
      <c r="J68" s="24" t="s">
        <v>22</v>
      </c>
      <c r="K68" s="25"/>
      <c r="L68" s="24" t="s">
        <v>39</v>
      </c>
      <c r="M68" s="24" t="s">
        <v>114</v>
      </c>
      <c r="N68" s="25" t="s">
        <v>115</v>
      </c>
      <c r="O68" s="25"/>
      <c r="P68" s="24" t="s">
        <v>60</v>
      </c>
      <c r="Q68" s="24" t="s">
        <v>22</v>
      </c>
      <c r="R68" s="25" t="s">
        <v>27</v>
      </c>
      <c r="S68" s="25"/>
      <c r="T68" s="23" t="str">
        <f>"630,0"</f>
        <v>630,0</v>
      </c>
      <c r="U68" s="24" t="str">
        <f>"370,8810"</f>
        <v>370,8810</v>
      </c>
      <c r="V68" s="26" t="s">
        <v>786</v>
      </c>
    </row>
    <row r="69" spans="1:22" ht="12.75">
      <c r="A69" s="23" t="s">
        <v>787</v>
      </c>
      <c r="B69" s="23" t="s">
        <v>1888</v>
      </c>
      <c r="C69" s="23" t="s">
        <v>788</v>
      </c>
      <c r="D69" s="23" t="s">
        <v>789</v>
      </c>
      <c r="E69" s="23" t="str">
        <f>"0,5930"</f>
        <v>0,5930</v>
      </c>
      <c r="F69" s="23" t="s">
        <v>18</v>
      </c>
      <c r="G69" s="23" t="s">
        <v>19</v>
      </c>
      <c r="H69" s="25" t="s">
        <v>152</v>
      </c>
      <c r="I69" s="24" t="s">
        <v>152</v>
      </c>
      <c r="J69" s="24" t="s">
        <v>64</v>
      </c>
      <c r="K69" s="25"/>
      <c r="L69" s="24" t="s">
        <v>39</v>
      </c>
      <c r="M69" s="24" t="s">
        <v>114</v>
      </c>
      <c r="N69" s="25" t="s">
        <v>24</v>
      </c>
      <c r="O69" s="25"/>
      <c r="P69" s="24" t="s">
        <v>62</v>
      </c>
      <c r="Q69" s="24" t="s">
        <v>321</v>
      </c>
      <c r="R69" s="24" t="s">
        <v>37</v>
      </c>
      <c r="S69" s="25"/>
      <c r="T69" s="23" t="str">
        <f>"570,0"</f>
        <v>570,0</v>
      </c>
      <c r="U69" s="24" t="str">
        <f>"338,0100"</f>
        <v>338,0100</v>
      </c>
      <c r="V69" s="23"/>
    </row>
    <row r="70" spans="1:22" ht="12.75">
      <c r="A70" s="12" t="s">
        <v>790</v>
      </c>
      <c r="B70" s="12" t="s">
        <v>1892</v>
      </c>
      <c r="C70" s="12" t="s">
        <v>791</v>
      </c>
      <c r="D70" s="12" t="s">
        <v>785</v>
      </c>
      <c r="E70" s="12" t="str">
        <f>"0,5887"</f>
        <v>0,5887</v>
      </c>
      <c r="F70" s="12" t="s">
        <v>18</v>
      </c>
      <c r="G70" s="12" t="s">
        <v>19</v>
      </c>
      <c r="H70" s="14" t="s">
        <v>37</v>
      </c>
      <c r="I70" s="14" t="s">
        <v>60</v>
      </c>
      <c r="J70" s="14" t="s">
        <v>22</v>
      </c>
      <c r="K70" s="13"/>
      <c r="L70" s="14" t="s">
        <v>39</v>
      </c>
      <c r="M70" s="14" t="s">
        <v>114</v>
      </c>
      <c r="N70" s="13" t="s">
        <v>115</v>
      </c>
      <c r="O70" s="13"/>
      <c r="P70" s="14" t="s">
        <v>60</v>
      </c>
      <c r="Q70" s="14" t="s">
        <v>22</v>
      </c>
      <c r="R70" s="13" t="s">
        <v>27</v>
      </c>
      <c r="S70" s="13"/>
      <c r="T70" s="12" t="str">
        <f>"630,0"</f>
        <v>630,0</v>
      </c>
      <c r="U70" s="14" t="str">
        <f>"374,5898"</f>
        <v>374,5898</v>
      </c>
      <c r="V70" s="12" t="s">
        <v>786</v>
      </c>
    </row>
    <row r="72" spans="1:22" ht="15">
      <c r="A72" s="48" t="s">
        <v>206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1:22" ht="12.75">
      <c r="A73" s="9" t="s">
        <v>793</v>
      </c>
      <c r="B73" s="9" t="s">
        <v>1895</v>
      </c>
      <c r="C73" s="9" t="s">
        <v>794</v>
      </c>
      <c r="D73" s="9" t="s">
        <v>548</v>
      </c>
      <c r="E73" s="9" t="str">
        <f>"0,5795"</f>
        <v>0,5795</v>
      </c>
      <c r="F73" s="9" t="s">
        <v>18</v>
      </c>
      <c r="G73" s="9" t="s">
        <v>19</v>
      </c>
      <c r="H73" s="11" t="s">
        <v>175</v>
      </c>
      <c r="I73" s="11" t="s">
        <v>194</v>
      </c>
      <c r="J73" s="10" t="s">
        <v>199</v>
      </c>
      <c r="K73" s="10"/>
      <c r="L73" s="11" t="s">
        <v>152</v>
      </c>
      <c r="M73" s="11" t="s">
        <v>64</v>
      </c>
      <c r="N73" s="10"/>
      <c r="O73" s="10"/>
      <c r="P73" s="11" t="s">
        <v>175</v>
      </c>
      <c r="Q73" s="11" t="s">
        <v>194</v>
      </c>
      <c r="R73" s="10"/>
      <c r="S73" s="10"/>
      <c r="T73" s="9" t="str">
        <f>"800,0"</f>
        <v>800,0</v>
      </c>
      <c r="U73" s="11" t="str">
        <f>"463,6000"</f>
        <v>463,6000</v>
      </c>
      <c r="V73" s="9" t="s">
        <v>200</v>
      </c>
    </row>
    <row r="74" spans="1:22" ht="12.75">
      <c r="A74" s="23" t="s">
        <v>795</v>
      </c>
      <c r="B74" s="23" t="s">
        <v>1892</v>
      </c>
      <c r="C74" s="23" t="s">
        <v>796</v>
      </c>
      <c r="D74" s="23" t="s">
        <v>797</v>
      </c>
      <c r="E74" s="23" t="str">
        <f>"0,5714"</f>
        <v>0,5714</v>
      </c>
      <c r="F74" s="23" t="s">
        <v>34</v>
      </c>
      <c r="G74" s="23" t="s">
        <v>352</v>
      </c>
      <c r="H74" s="24" t="s">
        <v>26</v>
      </c>
      <c r="I74" s="24" t="s">
        <v>27</v>
      </c>
      <c r="J74" s="25" t="s">
        <v>49</v>
      </c>
      <c r="K74" s="25"/>
      <c r="L74" s="25" t="s">
        <v>115</v>
      </c>
      <c r="M74" s="24" t="s">
        <v>115</v>
      </c>
      <c r="N74" s="25" t="s">
        <v>25</v>
      </c>
      <c r="O74" s="25"/>
      <c r="P74" s="25" t="s">
        <v>26</v>
      </c>
      <c r="Q74" s="24" t="s">
        <v>26</v>
      </c>
      <c r="R74" s="24" t="s">
        <v>27</v>
      </c>
      <c r="S74" s="25"/>
      <c r="T74" s="23" t="str">
        <f>"650,0"</f>
        <v>650,0</v>
      </c>
      <c r="U74" s="24" t="str">
        <f>"371,4100"</f>
        <v>371,4100</v>
      </c>
      <c r="V74" s="23" t="s">
        <v>798</v>
      </c>
    </row>
    <row r="75" spans="1:22" ht="12.75">
      <c r="A75" s="12" t="s">
        <v>799</v>
      </c>
      <c r="B75" s="12" t="s">
        <v>1892</v>
      </c>
      <c r="C75" s="12" t="s">
        <v>800</v>
      </c>
      <c r="D75" s="12" t="s">
        <v>801</v>
      </c>
      <c r="E75" s="12" t="str">
        <f>"0,5806"</f>
        <v>0,5806</v>
      </c>
      <c r="F75" s="12" t="s">
        <v>18</v>
      </c>
      <c r="G75" s="12" t="s">
        <v>19</v>
      </c>
      <c r="H75" s="14" t="s">
        <v>64</v>
      </c>
      <c r="I75" s="14" t="s">
        <v>20</v>
      </c>
      <c r="J75" s="14" t="s">
        <v>37</v>
      </c>
      <c r="K75" s="13"/>
      <c r="L75" s="14" t="s">
        <v>115</v>
      </c>
      <c r="M75" s="14" t="s">
        <v>51</v>
      </c>
      <c r="N75" s="13" t="s">
        <v>118</v>
      </c>
      <c r="O75" s="13"/>
      <c r="P75" s="14" t="s">
        <v>64</v>
      </c>
      <c r="Q75" s="13" t="s">
        <v>42</v>
      </c>
      <c r="R75" s="13"/>
      <c r="S75" s="13"/>
      <c r="T75" s="12" t="str">
        <f>"587,5"</f>
        <v>587,5</v>
      </c>
      <c r="U75" s="14" t="str">
        <f>"359,8632"</f>
        <v>359,8632</v>
      </c>
      <c r="V75" s="12" t="s">
        <v>802</v>
      </c>
    </row>
    <row r="77" spans="1:22" ht="15">
      <c r="A77" s="48" t="s">
        <v>66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1:22" ht="12.75">
      <c r="A78" s="9" t="s">
        <v>804</v>
      </c>
      <c r="B78" s="9" t="s">
        <v>1891</v>
      </c>
      <c r="C78" s="9" t="s">
        <v>805</v>
      </c>
      <c r="D78" s="9" t="s">
        <v>806</v>
      </c>
      <c r="E78" s="9" t="str">
        <f>"0,5670"</f>
        <v>0,5670</v>
      </c>
      <c r="F78" s="9" t="s">
        <v>18</v>
      </c>
      <c r="G78" s="9" t="s">
        <v>19</v>
      </c>
      <c r="H78" s="11" t="s">
        <v>72</v>
      </c>
      <c r="I78" s="10" t="s">
        <v>160</v>
      </c>
      <c r="J78" s="11" t="s">
        <v>53</v>
      </c>
      <c r="K78" s="10"/>
      <c r="L78" s="11" t="s">
        <v>747</v>
      </c>
      <c r="M78" s="11" t="s">
        <v>714</v>
      </c>
      <c r="N78" s="10" t="s">
        <v>36</v>
      </c>
      <c r="O78" s="10"/>
      <c r="P78" s="11" t="s">
        <v>194</v>
      </c>
      <c r="Q78" s="10" t="s">
        <v>199</v>
      </c>
      <c r="R78" s="10"/>
      <c r="S78" s="10"/>
      <c r="T78" s="9" t="str">
        <f>"777,5"</f>
        <v>777,5</v>
      </c>
      <c r="U78" s="11" t="str">
        <f>"440,8425"</f>
        <v>440,8425</v>
      </c>
      <c r="V78" s="9" t="s">
        <v>807</v>
      </c>
    </row>
    <row r="79" spans="1:22" ht="12.75">
      <c r="A79" s="12" t="s">
        <v>804</v>
      </c>
      <c r="B79" s="12" t="s">
        <v>1891</v>
      </c>
      <c r="C79" s="12" t="s">
        <v>808</v>
      </c>
      <c r="D79" s="12" t="s">
        <v>806</v>
      </c>
      <c r="E79" s="12" t="str">
        <f>"0,5670"</f>
        <v>0,5670</v>
      </c>
      <c r="F79" s="12" t="s">
        <v>18</v>
      </c>
      <c r="G79" s="12" t="s">
        <v>19</v>
      </c>
      <c r="H79" s="14" t="s">
        <v>72</v>
      </c>
      <c r="I79" s="13" t="s">
        <v>160</v>
      </c>
      <c r="J79" s="14" t="s">
        <v>53</v>
      </c>
      <c r="K79" s="13"/>
      <c r="L79" s="14" t="s">
        <v>747</v>
      </c>
      <c r="M79" s="14" t="s">
        <v>714</v>
      </c>
      <c r="N79" s="13" t="s">
        <v>36</v>
      </c>
      <c r="O79" s="13"/>
      <c r="P79" s="14" t="s">
        <v>194</v>
      </c>
      <c r="Q79" s="13" t="s">
        <v>199</v>
      </c>
      <c r="R79" s="13"/>
      <c r="S79" s="13"/>
      <c r="T79" s="12" t="str">
        <f>"777,5"</f>
        <v>777,5</v>
      </c>
      <c r="U79" s="14" t="str">
        <f>"440,8425"</f>
        <v>440,8425</v>
      </c>
      <c r="V79" s="12" t="s">
        <v>807</v>
      </c>
    </row>
    <row r="81" ht="15">
      <c r="F81" s="15" t="s">
        <v>74</v>
      </c>
    </row>
    <row r="82" ht="15">
      <c r="F82" s="15" t="s">
        <v>75</v>
      </c>
    </row>
    <row r="83" ht="15">
      <c r="F83" s="15" t="s">
        <v>76</v>
      </c>
    </row>
    <row r="84" ht="15">
      <c r="F84" s="15" t="s">
        <v>77</v>
      </c>
    </row>
    <row r="85" ht="15">
      <c r="F85" s="15" t="s">
        <v>77</v>
      </c>
    </row>
    <row r="86" ht="15">
      <c r="F86" s="15" t="s">
        <v>78</v>
      </c>
    </row>
    <row r="87" ht="15">
      <c r="F87" s="15"/>
    </row>
    <row r="89" spans="1:3" ht="18">
      <c r="A89" s="16" t="s">
        <v>79</v>
      </c>
      <c r="B89" s="16"/>
      <c r="C89" s="16"/>
    </row>
    <row r="90" spans="1:3" ht="15">
      <c r="A90" s="17" t="s">
        <v>80</v>
      </c>
      <c r="B90" s="17"/>
      <c r="C90" s="17"/>
    </row>
    <row r="91" spans="1:3" ht="14.25">
      <c r="A91" s="19"/>
      <c r="B91" s="19"/>
      <c r="C91" s="20" t="s">
        <v>226</v>
      </c>
    </row>
    <row r="92" spans="1:6" ht="15">
      <c r="A92" s="21" t="s">
        <v>82</v>
      </c>
      <c r="B92" s="21"/>
      <c r="C92" s="21" t="s">
        <v>83</v>
      </c>
      <c r="D92" s="21" t="s">
        <v>84</v>
      </c>
      <c r="E92" s="21" t="s">
        <v>85</v>
      </c>
      <c r="F92" s="21" t="s">
        <v>86</v>
      </c>
    </row>
    <row r="93" spans="1:6" ht="12.75">
      <c r="A93" s="18" t="s">
        <v>792</v>
      </c>
      <c r="B93" s="18"/>
      <c r="C93" s="5" t="s">
        <v>227</v>
      </c>
      <c r="D93" s="5" t="s">
        <v>109</v>
      </c>
      <c r="E93" s="5" t="s">
        <v>809</v>
      </c>
      <c r="F93" s="22" t="s">
        <v>810</v>
      </c>
    </row>
    <row r="95" spans="1:3" ht="14.25">
      <c r="A95" s="19"/>
      <c r="B95" s="19"/>
      <c r="C95" s="20" t="s">
        <v>81</v>
      </c>
    </row>
    <row r="96" spans="1:6" ht="15">
      <c r="A96" s="21" t="s">
        <v>82</v>
      </c>
      <c r="B96" s="21"/>
      <c r="C96" s="21" t="s">
        <v>83</v>
      </c>
      <c r="D96" s="21" t="s">
        <v>84</v>
      </c>
      <c r="E96" s="21" t="s">
        <v>85</v>
      </c>
      <c r="F96" s="21" t="s">
        <v>86</v>
      </c>
    </row>
    <row r="97" spans="1:6" ht="12.75">
      <c r="A97" s="18" t="s">
        <v>723</v>
      </c>
      <c r="B97" s="18"/>
      <c r="C97" s="5" t="s">
        <v>81</v>
      </c>
      <c r="D97" s="5" t="s">
        <v>87</v>
      </c>
      <c r="E97" s="5" t="s">
        <v>813</v>
      </c>
      <c r="F97" s="22" t="s">
        <v>814</v>
      </c>
    </row>
    <row r="98" spans="1:6" ht="12.75">
      <c r="A98" s="18" t="s">
        <v>803</v>
      </c>
      <c r="B98" s="18"/>
      <c r="C98" s="5" t="s">
        <v>81</v>
      </c>
      <c r="D98" s="5" t="s">
        <v>39</v>
      </c>
      <c r="E98" s="5" t="s">
        <v>811</v>
      </c>
      <c r="F98" s="22" t="s">
        <v>812</v>
      </c>
    </row>
    <row r="99" spans="1:6" ht="12.75">
      <c r="A99" s="18" t="s">
        <v>755</v>
      </c>
      <c r="B99" s="18"/>
      <c r="C99" s="5" t="s">
        <v>81</v>
      </c>
      <c r="D99" s="5" t="s">
        <v>91</v>
      </c>
      <c r="E99" s="5" t="s">
        <v>815</v>
      </c>
      <c r="F99" s="22" t="s">
        <v>816</v>
      </c>
    </row>
  </sheetData>
  <sheetProtection/>
  <mergeCells count="28">
    <mergeCell ref="A47:V47"/>
    <mergeCell ref="A42:V42"/>
    <mergeCell ref="A77:V77"/>
    <mergeCell ref="A72:V72"/>
    <mergeCell ref="A63:V63"/>
    <mergeCell ref="A54:V54"/>
    <mergeCell ref="A19:V19"/>
    <mergeCell ref="A16:V16"/>
    <mergeCell ref="A12:V12"/>
    <mergeCell ref="A8:V8"/>
    <mergeCell ref="A5:V5"/>
    <mergeCell ref="A1:V2"/>
    <mergeCell ref="B3:B4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  <mergeCell ref="A35:V35"/>
    <mergeCell ref="A32:V32"/>
    <mergeCell ref="A27:V2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8"/>
  <sheetViews>
    <sheetView zoomScale="80" zoomScaleNormal="80" zoomScalePageLayoutView="0" workbookViewId="0" topLeftCell="A49">
      <selection activeCell="B34" sqref="B34"/>
    </sheetView>
  </sheetViews>
  <sheetFormatPr defaultColWidth="9.00390625" defaultRowHeight="12.75"/>
  <cols>
    <col min="1" max="1" width="26.00390625" style="5" bestFit="1" customWidth="1"/>
    <col min="2" max="2" width="16.625" style="5" customWidth="1"/>
    <col min="3" max="3" width="28.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6.75390625" style="5" bestFit="1" customWidth="1"/>
    <col min="8" max="8" width="5.625" style="4" bestFit="1" customWidth="1"/>
    <col min="9" max="9" width="4.625" style="4" bestFit="1" customWidth="1"/>
    <col min="10" max="10" width="12.00390625" style="5" customWidth="1"/>
    <col min="11" max="11" width="9.625" style="4" bestFit="1" customWidth="1"/>
    <col min="12" max="12" width="24.375" style="5" customWidth="1"/>
    <col min="13" max="16384" width="9.125" style="4" customWidth="1"/>
  </cols>
  <sheetData>
    <row r="1" spans="1:12" s="3" customFormat="1" ht="28.5" customHeight="1">
      <c r="A1" s="38" t="s">
        <v>1807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1683</v>
      </c>
      <c r="F3" s="30" t="s">
        <v>7</v>
      </c>
      <c r="G3" s="30" t="s">
        <v>10</v>
      </c>
      <c r="H3" s="30" t="s">
        <v>2</v>
      </c>
      <c r="I3" s="30"/>
      <c r="J3" s="30" t="s">
        <v>433</v>
      </c>
      <c r="K3" s="30" t="s">
        <v>6</v>
      </c>
      <c r="L3" s="32" t="s">
        <v>5</v>
      </c>
    </row>
    <row r="4" spans="1:12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31"/>
      <c r="K4" s="31"/>
      <c r="L4" s="33"/>
    </row>
    <row r="5" spans="1:12" ht="15">
      <c r="A5" s="49" t="s">
        <v>103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2.75">
      <c r="A6" s="6" t="s">
        <v>1806</v>
      </c>
      <c r="B6" s="6" t="s">
        <v>1890</v>
      </c>
      <c r="C6" s="6" t="s">
        <v>1805</v>
      </c>
      <c r="D6" s="6" t="s">
        <v>458</v>
      </c>
      <c r="E6" s="6" t="str">
        <f>"1,0024"</f>
        <v>1,0024</v>
      </c>
      <c r="F6" s="6" t="s">
        <v>18</v>
      </c>
      <c r="G6" s="6" t="s">
        <v>19</v>
      </c>
      <c r="H6" s="7" t="s">
        <v>225</v>
      </c>
      <c r="I6" s="7" t="s">
        <v>1804</v>
      </c>
      <c r="J6" s="6" t="str">
        <f>"660,0"</f>
        <v>660,0</v>
      </c>
      <c r="K6" s="7" t="str">
        <f>"661,5840"</f>
        <v>661,5840</v>
      </c>
      <c r="L6" s="6" t="s">
        <v>1803</v>
      </c>
    </row>
    <row r="8" spans="1:12" ht="15">
      <c r="A8" s="48" t="s">
        <v>110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2.75">
      <c r="A9" s="9" t="s">
        <v>1802</v>
      </c>
      <c r="B9" s="9" t="s">
        <v>1891</v>
      </c>
      <c r="C9" s="9" t="s">
        <v>1801</v>
      </c>
      <c r="D9" s="9" t="s">
        <v>273</v>
      </c>
      <c r="E9" s="9" t="str">
        <f>"0,7733"</f>
        <v>0,7733</v>
      </c>
      <c r="F9" s="9" t="s">
        <v>18</v>
      </c>
      <c r="G9" s="9" t="s">
        <v>19</v>
      </c>
      <c r="H9" s="11" t="s">
        <v>124</v>
      </c>
      <c r="I9" s="11" t="s">
        <v>1725</v>
      </c>
      <c r="J9" s="9" t="str">
        <f>"2145,0"</f>
        <v>2145,0</v>
      </c>
      <c r="K9" s="11" t="str">
        <f>"1658,7285"</f>
        <v>1658,7285</v>
      </c>
      <c r="L9" s="9"/>
    </row>
    <row r="10" spans="1:12" ht="12.75">
      <c r="A10" s="23" t="s">
        <v>1800</v>
      </c>
      <c r="B10" s="23" t="s">
        <v>1891</v>
      </c>
      <c r="C10" s="23" t="s">
        <v>1799</v>
      </c>
      <c r="D10" s="23" t="s">
        <v>957</v>
      </c>
      <c r="E10" s="23" t="str">
        <f>"0,7522"</f>
        <v>0,7522</v>
      </c>
      <c r="F10" s="23" t="s">
        <v>18</v>
      </c>
      <c r="G10" s="23" t="s">
        <v>19</v>
      </c>
      <c r="H10" s="24" t="s">
        <v>224</v>
      </c>
      <c r="I10" s="24" t="s">
        <v>1722</v>
      </c>
      <c r="J10" s="23" t="str">
        <f>"2160,0"</f>
        <v>2160,0</v>
      </c>
      <c r="K10" s="24" t="str">
        <f>"1624,7520"</f>
        <v>1624,7520</v>
      </c>
      <c r="L10" s="23" t="s">
        <v>975</v>
      </c>
    </row>
    <row r="11" spans="1:12" ht="12.75">
      <c r="A11" s="12" t="s">
        <v>973</v>
      </c>
      <c r="B11" s="12" t="s">
        <v>1891</v>
      </c>
      <c r="C11" s="12" t="s">
        <v>1798</v>
      </c>
      <c r="D11" s="12" t="s">
        <v>957</v>
      </c>
      <c r="E11" s="12" t="str">
        <f>"0,7522"</f>
        <v>0,7522</v>
      </c>
      <c r="F11" s="12" t="s">
        <v>18</v>
      </c>
      <c r="G11" s="12" t="s">
        <v>19</v>
      </c>
      <c r="H11" s="14" t="s">
        <v>224</v>
      </c>
      <c r="I11" s="14" t="s">
        <v>1722</v>
      </c>
      <c r="J11" s="12" t="str">
        <f>"2160,0"</f>
        <v>2160,0</v>
      </c>
      <c r="K11" s="14" t="str">
        <f>"1892,8361"</f>
        <v>1892,8361</v>
      </c>
      <c r="L11" s="12" t="s">
        <v>975</v>
      </c>
    </row>
    <row r="13" spans="1:12" ht="15">
      <c r="A13" s="48" t="s">
        <v>128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2.75">
      <c r="A14" s="9" t="s">
        <v>1797</v>
      </c>
      <c r="B14" s="9" t="s">
        <v>1888</v>
      </c>
      <c r="C14" s="9" t="s">
        <v>1796</v>
      </c>
      <c r="D14" s="9" t="s">
        <v>988</v>
      </c>
      <c r="E14" s="9" t="str">
        <f>"0,6990"</f>
        <v>0,6990</v>
      </c>
      <c r="F14" s="9" t="s">
        <v>18</v>
      </c>
      <c r="G14" s="9" t="s">
        <v>19</v>
      </c>
      <c r="H14" s="11" t="s">
        <v>125</v>
      </c>
      <c r="I14" s="11" t="s">
        <v>1708</v>
      </c>
      <c r="J14" s="9" t="str">
        <f>"1950,0"</f>
        <v>1950,0</v>
      </c>
      <c r="K14" s="11" t="str">
        <f>"1363,0500"</f>
        <v>1363,0500</v>
      </c>
      <c r="L14" s="9" t="s">
        <v>29</v>
      </c>
    </row>
    <row r="15" spans="1:12" ht="12.75">
      <c r="A15" s="23" t="s">
        <v>1795</v>
      </c>
      <c r="B15" s="23" t="s">
        <v>1897</v>
      </c>
      <c r="C15" s="23" t="s">
        <v>1794</v>
      </c>
      <c r="D15" s="23" t="s">
        <v>993</v>
      </c>
      <c r="E15" s="23" t="str">
        <f>"0,6940"</f>
        <v>0,6940</v>
      </c>
      <c r="F15" s="23" t="s">
        <v>34</v>
      </c>
      <c r="G15" s="23" t="s">
        <v>1793</v>
      </c>
      <c r="H15" s="24" t="s">
        <v>125</v>
      </c>
      <c r="I15" s="24" t="s">
        <v>1792</v>
      </c>
      <c r="J15" s="23" t="str">
        <f>"5775,0"</f>
        <v>5775,0</v>
      </c>
      <c r="K15" s="24" t="str">
        <f>"4007,8500"</f>
        <v>4007,8500</v>
      </c>
      <c r="L15" s="23" t="s">
        <v>29</v>
      </c>
    </row>
    <row r="16" spans="1:12" ht="12.75">
      <c r="A16" s="23" t="s">
        <v>1791</v>
      </c>
      <c r="B16" s="23" t="s">
        <v>1895</v>
      </c>
      <c r="C16" s="23" t="s">
        <v>1790</v>
      </c>
      <c r="D16" s="23" t="s">
        <v>592</v>
      </c>
      <c r="E16" s="23" t="str">
        <f>"0,7297"</f>
        <v>0,7297</v>
      </c>
      <c r="F16" s="23" t="s">
        <v>1789</v>
      </c>
      <c r="G16" s="23" t="s">
        <v>1788</v>
      </c>
      <c r="H16" s="24" t="s">
        <v>116</v>
      </c>
      <c r="I16" s="24" t="s">
        <v>1663</v>
      </c>
      <c r="J16" s="23" t="str">
        <f>"2520,0"</f>
        <v>2520,0</v>
      </c>
      <c r="K16" s="24" t="str">
        <f>"1838,7181"</f>
        <v>1838,7181</v>
      </c>
      <c r="L16" s="23"/>
    </row>
    <row r="17" spans="1:12" ht="12.75">
      <c r="A17" s="23" t="s">
        <v>1787</v>
      </c>
      <c r="B17" s="23" t="s">
        <v>1891</v>
      </c>
      <c r="C17" s="23" t="s">
        <v>1786</v>
      </c>
      <c r="D17" s="23" t="s">
        <v>592</v>
      </c>
      <c r="E17" s="23" t="str">
        <f>"0,7297"</f>
        <v>0,7297</v>
      </c>
      <c r="F17" s="23" t="s">
        <v>18</v>
      </c>
      <c r="G17" s="23" t="s">
        <v>19</v>
      </c>
      <c r="H17" s="24" t="s">
        <v>116</v>
      </c>
      <c r="I17" s="24" t="s">
        <v>1767</v>
      </c>
      <c r="J17" s="23" t="str">
        <f>"2380,0"</f>
        <v>2380,0</v>
      </c>
      <c r="K17" s="24" t="str">
        <f>"1736,5670"</f>
        <v>1736,5670</v>
      </c>
      <c r="L17" s="23" t="s">
        <v>1785</v>
      </c>
    </row>
    <row r="18" spans="1:12" ht="12.75">
      <c r="A18" s="23" t="s">
        <v>1784</v>
      </c>
      <c r="B18" s="23" t="s">
        <v>1891</v>
      </c>
      <c r="C18" s="23" t="s">
        <v>1783</v>
      </c>
      <c r="D18" s="23" t="s">
        <v>1782</v>
      </c>
      <c r="E18" s="23" t="str">
        <f>"0,7064"</f>
        <v>0,7064</v>
      </c>
      <c r="F18" s="23" t="s">
        <v>1107</v>
      </c>
      <c r="G18" s="23" t="s">
        <v>1108</v>
      </c>
      <c r="H18" s="24" t="s">
        <v>556</v>
      </c>
      <c r="I18" s="24" t="s">
        <v>1711</v>
      </c>
      <c r="J18" s="23" t="str">
        <f>"2247,5"</f>
        <v>2247,5</v>
      </c>
      <c r="K18" s="24" t="str">
        <f>"1849,5936"</f>
        <v>1849,5936</v>
      </c>
      <c r="L18" s="23" t="s">
        <v>29</v>
      </c>
    </row>
    <row r="19" spans="1:12" ht="12.75">
      <c r="A19" s="12" t="s">
        <v>1781</v>
      </c>
      <c r="B19" s="12" t="s">
        <v>1889</v>
      </c>
      <c r="C19" s="12" t="s">
        <v>1780</v>
      </c>
      <c r="D19" s="12" t="s">
        <v>1451</v>
      </c>
      <c r="E19" s="12" t="str">
        <f>"0,6962"</f>
        <v>0,6962</v>
      </c>
      <c r="F19" s="12" t="s">
        <v>18</v>
      </c>
      <c r="G19" s="12" t="s">
        <v>19</v>
      </c>
      <c r="H19" s="14" t="s">
        <v>125</v>
      </c>
      <c r="I19" s="14" t="s">
        <v>1779</v>
      </c>
      <c r="J19" s="12" t="str">
        <f>"975,0"</f>
        <v>975,0</v>
      </c>
      <c r="K19" s="14" t="str">
        <f>"1140,9725"</f>
        <v>1140,9725</v>
      </c>
      <c r="L19" s="12" t="s">
        <v>1730</v>
      </c>
    </row>
    <row r="21" spans="1:12" ht="15">
      <c r="A21" s="48" t="s">
        <v>13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2.75">
      <c r="A22" s="9" t="s">
        <v>1778</v>
      </c>
      <c r="B22" s="9" t="s">
        <v>1887</v>
      </c>
      <c r="C22" s="9" t="s">
        <v>1777</v>
      </c>
      <c r="D22" s="9" t="s">
        <v>1043</v>
      </c>
      <c r="E22" s="9" t="str">
        <f>"0,6492"</f>
        <v>0,6492</v>
      </c>
      <c r="F22" s="9" t="s">
        <v>1776</v>
      </c>
      <c r="G22" s="9" t="s">
        <v>1775</v>
      </c>
      <c r="H22" s="11" t="s">
        <v>87</v>
      </c>
      <c r="I22" s="11" t="s">
        <v>1703</v>
      </c>
      <c r="J22" s="9" t="str">
        <f>"1485,0"</f>
        <v>1485,0</v>
      </c>
      <c r="K22" s="11" t="str">
        <f>"964,1362"</f>
        <v>964,1362</v>
      </c>
      <c r="L22" s="9" t="s">
        <v>29</v>
      </c>
    </row>
    <row r="23" spans="1:12" ht="12.75">
      <c r="A23" s="23" t="s">
        <v>1774</v>
      </c>
      <c r="B23" s="23" t="s">
        <v>1895</v>
      </c>
      <c r="C23" s="23" t="s">
        <v>1773</v>
      </c>
      <c r="D23" s="23" t="s">
        <v>147</v>
      </c>
      <c r="E23" s="23" t="str">
        <f>"0,6487"</f>
        <v>0,6487</v>
      </c>
      <c r="F23" s="23" t="s">
        <v>34</v>
      </c>
      <c r="G23" s="23" t="s">
        <v>626</v>
      </c>
      <c r="H23" s="24" t="s">
        <v>87</v>
      </c>
      <c r="I23" s="24" t="s">
        <v>558</v>
      </c>
      <c r="J23" s="23" t="str">
        <f>"3300,0"</f>
        <v>3300,0</v>
      </c>
      <c r="K23" s="24" t="str">
        <f>"2140,7100"</f>
        <v>2140,7100</v>
      </c>
      <c r="L23" s="23" t="s">
        <v>29</v>
      </c>
    </row>
    <row r="24" spans="1:12" ht="12.75">
      <c r="A24" s="23" t="s">
        <v>1772</v>
      </c>
      <c r="B24" s="23" t="s">
        <v>1895</v>
      </c>
      <c r="C24" s="23" t="s">
        <v>1771</v>
      </c>
      <c r="D24" s="23" t="s">
        <v>142</v>
      </c>
      <c r="E24" s="23" t="str">
        <f>"0,6497"</f>
        <v>0,6497</v>
      </c>
      <c r="F24" s="23" t="s">
        <v>18</v>
      </c>
      <c r="G24" s="23" t="s">
        <v>19</v>
      </c>
      <c r="H24" s="24" t="s">
        <v>87</v>
      </c>
      <c r="I24" s="24" t="s">
        <v>901</v>
      </c>
      <c r="J24" s="23" t="str">
        <f>"2887,5"</f>
        <v>2887,5</v>
      </c>
      <c r="K24" s="24" t="str">
        <f>"1876,1531"</f>
        <v>1876,1531</v>
      </c>
      <c r="L24" s="23" t="s">
        <v>29</v>
      </c>
    </row>
    <row r="25" spans="1:12" ht="12.75">
      <c r="A25" s="23" t="s">
        <v>1770</v>
      </c>
      <c r="B25" s="23" t="s">
        <v>1895</v>
      </c>
      <c r="C25" s="23" t="s">
        <v>1769</v>
      </c>
      <c r="D25" s="23" t="s">
        <v>1768</v>
      </c>
      <c r="E25" s="23" t="str">
        <f>"0,6635"</f>
        <v>0,6635</v>
      </c>
      <c r="F25" s="23" t="s">
        <v>18</v>
      </c>
      <c r="G25" s="23" t="s">
        <v>19</v>
      </c>
      <c r="H25" s="24" t="s">
        <v>281</v>
      </c>
      <c r="I25" s="24" t="s">
        <v>1767</v>
      </c>
      <c r="J25" s="23" t="str">
        <f>"2720,0"</f>
        <v>2720,0</v>
      </c>
      <c r="K25" s="24" t="str">
        <f>"1804,7200"</f>
        <v>1804,7200</v>
      </c>
      <c r="L25" s="23" t="s">
        <v>631</v>
      </c>
    </row>
    <row r="26" spans="1:12" ht="12.75">
      <c r="A26" s="23" t="s">
        <v>1051</v>
      </c>
      <c r="B26" s="23" t="s">
        <v>1891</v>
      </c>
      <c r="C26" s="23" t="s">
        <v>1052</v>
      </c>
      <c r="D26" s="23" t="s">
        <v>138</v>
      </c>
      <c r="E26" s="23" t="str">
        <f>"0,6793"</f>
        <v>0,6793</v>
      </c>
      <c r="F26" s="26" t="s">
        <v>18</v>
      </c>
      <c r="G26" s="23" t="s">
        <v>19</v>
      </c>
      <c r="H26" s="24" t="s">
        <v>117</v>
      </c>
      <c r="I26" s="24" t="s">
        <v>1722</v>
      </c>
      <c r="J26" s="23" t="str">
        <f>"2480,0"</f>
        <v>2480,0</v>
      </c>
      <c r="K26" s="24" t="str">
        <f>"1684,6640"</f>
        <v>1684,6640</v>
      </c>
      <c r="L26" s="23" t="s">
        <v>29</v>
      </c>
    </row>
    <row r="27" spans="1:12" ht="12.75">
      <c r="A27" s="23" t="s">
        <v>1766</v>
      </c>
      <c r="B27" s="23" t="s">
        <v>1895</v>
      </c>
      <c r="C27" s="23" t="s">
        <v>1765</v>
      </c>
      <c r="D27" s="23" t="s">
        <v>484</v>
      </c>
      <c r="E27" s="23" t="str">
        <f>"0,6471"</f>
        <v>0,6471</v>
      </c>
      <c r="F27" s="23" t="s">
        <v>34</v>
      </c>
      <c r="G27" s="23" t="s">
        <v>997</v>
      </c>
      <c r="H27" s="24" t="s">
        <v>87</v>
      </c>
      <c r="I27" s="24" t="s">
        <v>1764</v>
      </c>
      <c r="J27" s="23" t="str">
        <f>"3052,5"</f>
        <v>3052,5</v>
      </c>
      <c r="K27" s="24" t="str">
        <f>"1975,4253"</f>
        <v>1975,4253</v>
      </c>
      <c r="L27" s="23" t="s">
        <v>1763</v>
      </c>
    </row>
    <row r="28" spans="1:12" ht="12.75">
      <c r="A28" s="12" t="s">
        <v>1762</v>
      </c>
      <c r="B28" s="12" t="s">
        <v>1889</v>
      </c>
      <c r="C28" s="12" t="s">
        <v>1761</v>
      </c>
      <c r="D28" s="12" t="s">
        <v>1760</v>
      </c>
      <c r="E28" s="12" t="str">
        <f>"0,6618"</f>
        <v>0,6618</v>
      </c>
      <c r="F28" s="12" t="s">
        <v>34</v>
      </c>
      <c r="G28" s="12" t="s">
        <v>421</v>
      </c>
      <c r="H28" s="14" t="s">
        <v>281</v>
      </c>
      <c r="I28" s="14" t="s">
        <v>1759</v>
      </c>
      <c r="J28" s="12" t="str">
        <f>"960,0"</f>
        <v>960,0</v>
      </c>
      <c r="K28" s="14" t="str">
        <f>"764,8771"</f>
        <v>764,8771</v>
      </c>
      <c r="L28" s="12"/>
    </row>
    <row r="30" spans="1:12" ht="15">
      <c r="A30" s="48" t="s">
        <v>155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2.75">
      <c r="A31" s="9" t="s">
        <v>1758</v>
      </c>
      <c r="B31" s="9" t="s">
        <v>1895</v>
      </c>
      <c r="C31" s="9" t="s">
        <v>1101</v>
      </c>
      <c r="D31" s="9" t="s">
        <v>1102</v>
      </c>
      <c r="E31" s="9" t="str">
        <f>"0,6269"</f>
        <v>0,6269</v>
      </c>
      <c r="F31" s="9" t="s">
        <v>18</v>
      </c>
      <c r="G31" s="9" t="s">
        <v>19</v>
      </c>
      <c r="H31" s="11" t="s">
        <v>576</v>
      </c>
      <c r="I31" s="11" t="s">
        <v>1678</v>
      </c>
      <c r="J31" s="9" t="str">
        <f>"3412,5"</f>
        <v>3412,5</v>
      </c>
      <c r="K31" s="11" t="str">
        <f>"2139,1257"</f>
        <v>2139,1257</v>
      </c>
      <c r="L31" s="9" t="s">
        <v>29</v>
      </c>
    </row>
    <row r="32" spans="1:12" ht="12.75">
      <c r="A32" s="23" t="s">
        <v>1757</v>
      </c>
      <c r="B32" s="23" t="s">
        <v>1895</v>
      </c>
      <c r="C32" s="23" t="s">
        <v>1104</v>
      </c>
      <c r="D32" s="23" t="s">
        <v>734</v>
      </c>
      <c r="E32" s="23" t="str">
        <f>"0,6177"</f>
        <v>0,6177</v>
      </c>
      <c r="F32" s="23" t="s">
        <v>18</v>
      </c>
      <c r="G32" s="23" t="s">
        <v>19</v>
      </c>
      <c r="H32" s="24" t="s">
        <v>232</v>
      </c>
      <c r="I32" s="24" t="s">
        <v>1722</v>
      </c>
      <c r="J32" s="23" t="str">
        <f>"2880,0"</f>
        <v>2880,0</v>
      </c>
      <c r="K32" s="24" t="str">
        <f>"1778,9759"</f>
        <v>1778,9759</v>
      </c>
      <c r="L32" s="23" t="s">
        <v>29</v>
      </c>
    </row>
    <row r="33" spans="1:12" ht="12.75">
      <c r="A33" s="23" t="s">
        <v>1756</v>
      </c>
      <c r="B33" s="23" t="s">
        <v>1892</v>
      </c>
      <c r="C33" s="23" t="s">
        <v>1755</v>
      </c>
      <c r="D33" s="23" t="s">
        <v>1754</v>
      </c>
      <c r="E33" s="23" t="str">
        <f>"0,6441"</f>
        <v>0,6441</v>
      </c>
      <c r="F33" s="23" t="s">
        <v>18</v>
      </c>
      <c r="G33" s="23" t="s">
        <v>19</v>
      </c>
      <c r="H33" s="24" t="s">
        <v>282</v>
      </c>
      <c r="I33" s="24" t="s">
        <v>1717</v>
      </c>
      <c r="J33" s="23" t="str">
        <f>"2380,0"</f>
        <v>2380,0</v>
      </c>
      <c r="K33" s="24" t="str">
        <f>"1532,9580"</f>
        <v>1532,9580</v>
      </c>
      <c r="L33" s="23" t="s">
        <v>29</v>
      </c>
    </row>
    <row r="34" spans="1:12" ht="12.75">
      <c r="A34" s="23" t="s">
        <v>1753</v>
      </c>
      <c r="B34" s="23" t="s">
        <v>1892</v>
      </c>
      <c r="C34" s="23" t="s">
        <v>1138</v>
      </c>
      <c r="D34" s="23" t="s">
        <v>171</v>
      </c>
      <c r="E34" s="23" t="str">
        <f>"0,6145"</f>
        <v>0,6145</v>
      </c>
      <c r="F34" s="23" t="s">
        <v>18</v>
      </c>
      <c r="G34" s="23" t="s">
        <v>19</v>
      </c>
      <c r="H34" s="24" t="s">
        <v>232</v>
      </c>
      <c r="I34" s="24" t="s">
        <v>1675</v>
      </c>
      <c r="J34" s="23" t="str">
        <f>"2160,0"</f>
        <v>2160,0</v>
      </c>
      <c r="K34" s="24" t="str">
        <f>"1327,4280"</f>
        <v>1327,4280</v>
      </c>
      <c r="L34" s="23" t="s">
        <v>29</v>
      </c>
    </row>
    <row r="35" spans="1:12" ht="12.75">
      <c r="A35" s="23" t="s">
        <v>1139</v>
      </c>
      <c r="B35" s="23" t="s">
        <v>1895</v>
      </c>
      <c r="C35" s="23" t="s">
        <v>1752</v>
      </c>
      <c r="D35" s="23" t="s">
        <v>734</v>
      </c>
      <c r="E35" s="23" t="str">
        <f>"0,6177"</f>
        <v>0,6177</v>
      </c>
      <c r="F35" s="23" t="s">
        <v>18</v>
      </c>
      <c r="G35" s="23" t="s">
        <v>19</v>
      </c>
      <c r="H35" s="24" t="s">
        <v>232</v>
      </c>
      <c r="I35" s="24" t="s">
        <v>1722</v>
      </c>
      <c r="J35" s="23" t="str">
        <f>"2880,0"</f>
        <v>2880,0</v>
      </c>
      <c r="K35" s="24" t="str">
        <f>"1778,9759"</f>
        <v>1778,9759</v>
      </c>
      <c r="L35" s="23" t="s">
        <v>29</v>
      </c>
    </row>
    <row r="36" spans="1:12" ht="12.75">
      <c r="A36" s="12" t="s">
        <v>1751</v>
      </c>
      <c r="B36" s="12" t="s">
        <v>1892</v>
      </c>
      <c r="C36" s="12" t="s">
        <v>1750</v>
      </c>
      <c r="D36" s="12" t="s">
        <v>1749</v>
      </c>
      <c r="E36" s="12" t="str">
        <f>"0,6378"</f>
        <v>0,6378</v>
      </c>
      <c r="F36" s="12" t="s">
        <v>34</v>
      </c>
      <c r="G36" s="28" t="s">
        <v>1748</v>
      </c>
      <c r="H36" s="14" t="s">
        <v>282</v>
      </c>
      <c r="I36" s="14" t="s">
        <v>1731</v>
      </c>
      <c r="J36" s="12" t="str">
        <f>"1870,0"</f>
        <v>1870,0</v>
      </c>
      <c r="K36" s="14" t="str">
        <f>"1347,6296"</f>
        <v>1347,6296</v>
      </c>
      <c r="L36" s="12" t="s">
        <v>1747</v>
      </c>
    </row>
    <row r="38" spans="1:12" ht="15">
      <c r="A38" s="48" t="s">
        <v>30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2.75">
      <c r="A39" s="9" t="s">
        <v>1746</v>
      </c>
      <c r="B39" s="9" t="s">
        <v>1891</v>
      </c>
      <c r="C39" s="9" t="s">
        <v>1745</v>
      </c>
      <c r="D39" s="9" t="s">
        <v>1744</v>
      </c>
      <c r="E39" s="9" t="str">
        <f>"0,6050"</f>
        <v>0,6050</v>
      </c>
      <c r="F39" s="9" t="s">
        <v>18</v>
      </c>
      <c r="G39" s="9" t="s">
        <v>19</v>
      </c>
      <c r="H39" s="11" t="s">
        <v>263</v>
      </c>
      <c r="I39" s="11" t="s">
        <v>1654</v>
      </c>
      <c r="J39" s="9" t="str">
        <f>"2775,0"</f>
        <v>2775,0</v>
      </c>
      <c r="K39" s="11" t="str">
        <f>"1678,8751"</f>
        <v>1678,8751</v>
      </c>
      <c r="L39" s="9" t="s">
        <v>1743</v>
      </c>
    </row>
    <row r="40" spans="1:12" ht="12.75">
      <c r="A40" s="23" t="s">
        <v>1742</v>
      </c>
      <c r="B40" s="23" t="s">
        <v>1897</v>
      </c>
      <c r="C40" s="23" t="s">
        <v>1741</v>
      </c>
      <c r="D40" s="23" t="s">
        <v>351</v>
      </c>
      <c r="E40" s="23" t="str">
        <f>"0,5813"</f>
        <v>0,5813</v>
      </c>
      <c r="F40" s="23" t="s">
        <v>18</v>
      </c>
      <c r="G40" s="23" t="s">
        <v>19</v>
      </c>
      <c r="H40" s="24" t="s">
        <v>91</v>
      </c>
      <c r="I40" s="24" t="s">
        <v>558</v>
      </c>
      <c r="J40" s="23" t="str">
        <f>"4000,0"</f>
        <v>4000,0</v>
      </c>
      <c r="K40" s="24" t="str">
        <f>"2325,2001"</f>
        <v>2325,2001</v>
      </c>
      <c r="L40" s="23"/>
    </row>
    <row r="41" spans="1:12" ht="12.75">
      <c r="A41" s="23" t="s">
        <v>1740</v>
      </c>
      <c r="B41" s="23" t="s">
        <v>1891</v>
      </c>
      <c r="C41" s="23" t="s">
        <v>1739</v>
      </c>
      <c r="D41" s="23" t="s">
        <v>1738</v>
      </c>
      <c r="E41" s="23" t="str">
        <f>"0,6090"</f>
        <v>0,6090</v>
      </c>
      <c r="F41" s="23" t="s">
        <v>1107</v>
      </c>
      <c r="G41" s="23" t="s">
        <v>1108</v>
      </c>
      <c r="H41" s="24" t="s">
        <v>263</v>
      </c>
      <c r="I41" s="24" t="s">
        <v>1737</v>
      </c>
      <c r="J41" s="23" t="str">
        <f>"2682,5"</f>
        <v>2682,5</v>
      </c>
      <c r="K41" s="24" t="str">
        <f>"1633,5084"</f>
        <v>1633,5084</v>
      </c>
      <c r="L41" s="23" t="s">
        <v>29</v>
      </c>
    </row>
    <row r="42" spans="1:12" ht="12.75">
      <c r="A42" s="23" t="s">
        <v>1736</v>
      </c>
      <c r="B42" s="23" t="s">
        <v>1891</v>
      </c>
      <c r="C42" s="23" t="s">
        <v>1735</v>
      </c>
      <c r="D42" s="23" t="s">
        <v>1734</v>
      </c>
      <c r="E42" s="23" t="str">
        <f>"0,6061"</f>
        <v>0,6061</v>
      </c>
      <c r="F42" s="23" t="s">
        <v>18</v>
      </c>
      <c r="G42" s="23" t="s">
        <v>19</v>
      </c>
      <c r="H42" s="24" t="s">
        <v>263</v>
      </c>
      <c r="I42" s="24" t="s">
        <v>1679</v>
      </c>
      <c r="J42" s="23" t="str">
        <f>"2312,5"</f>
        <v>2312,5</v>
      </c>
      <c r="K42" s="24" t="str">
        <f>"1401,4907"</f>
        <v>1401,4907</v>
      </c>
      <c r="L42" s="23"/>
    </row>
    <row r="43" spans="1:12" ht="12.75">
      <c r="A43" s="23" t="s">
        <v>1733</v>
      </c>
      <c r="B43" s="23" t="s">
        <v>1891</v>
      </c>
      <c r="C43" s="23" t="s">
        <v>1732</v>
      </c>
      <c r="D43" s="23" t="s">
        <v>1571</v>
      </c>
      <c r="E43" s="23" t="str">
        <f>"0,5997"</f>
        <v>0,5997</v>
      </c>
      <c r="F43" s="23" t="s">
        <v>18</v>
      </c>
      <c r="G43" s="23" t="s">
        <v>19</v>
      </c>
      <c r="H43" s="24" t="s">
        <v>133</v>
      </c>
      <c r="I43" s="24" t="s">
        <v>1731</v>
      </c>
      <c r="J43" s="23" t="str">
        <f>"2090,0"</f>
        <v>2090,0</v>
      </c>
      <c r="K43" s="24" t="str">
        <f>"1253,2686"</f>
        <v>1253,2686</v>
      </c>
      <c r="L43" s="23" t="s">
        <v>1730</v>
      </c>
    </row>
    <row r="44" spans="1:12" ht="12.75">
      <c r="A44" s="12" t="s">
        <v>1208</v>
      </c>
      <c r="B44" s="12" t="s">
        <v>1891</v>
      </c>
      <c r="C44" s="12" t="s">
        <v>1729</v>
      </c>
      <c r="D44" s="12" t="s">
        <v>1210</v>
      </c>
      <c r="E44" s="12" t="str">
        <f>"0,5821"</f>
        <v>0,5821</v>
      </c>
      <c r="F44" s="12" t="s">
        <v>18</v>
      </c>
      <c r="G44" s="12" t="s">
        <v>19</v>
      </c>
      <c r="H44" s="14" t="s">
        <v>91</v>
      </c>
      <c r="I44" s="14" t="s">
        <v>1717</v>
      </c>
      <c r="J44" s="12" t="str">
        <f>"2800,0"</f>
        <v>2800,0</v>
      </c>
      <c r="K44" s="14" t="str">
        <f>"1662,3349"</f>
        <v>1662,3349</v>
      </c>
      <c r="L44" s="12" t="s">
        <v>29</v>
      </c>
    </row>
    <row r="46" spans="1:12" ht="15">
      <c r="A46" s="48" t="s">
        <v>45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2.75">
      <c r="A47" s="9" t="s">
        <v>1728</v>
      </c>
      <c r="B47" s="9" t="s">
        <v>1895</v>
      </c>
      <c r="C47" s="9" t="s">
        <v>1727</v>
      </c>
      <c r="D47" s="9" t="s">
        <v>1726</v>
      </c>
      <c r="E47" s="9" t="str">
        <f>"0,5759"</f>
        <v>0,5759</v>
      </c>
      <c r="F47" s="9" t="s">
        <v>18</v>
      </c>
      <c r="G47" s="9" t="s">
        <v>18</v>
      </c>
      <c r="H47" s="11" t="s">
        <v>139</v>
      </c>
      <c r="I47" s="11" t="s">
        <v>1725</v>
      </c>
      <c r="J47" s="9" t="str">
        <f>"3382,5"</f>
        <v>3382,5</v>
      </c>
      <c r="K47" s="11" t="str">
        <f>"1947,8127"</f>
        <v>1947,8127</v>
      </c>
      <c r="L47" s="9"/>
    </row>
    <row r="48" spans="1:12" ht="12.75">
      <c r="A48" s="23" t="s">
        <v>1724</v>
      </c>
      <c r="B48" s="23" t="s">
        <v>1895</v>
      </c>
      <c r="C48" s="23" t="s">
        <v>1723</v>
      </c>
      <c r="D48" s="23" t="s">
        <v>777</v>
      </c>
      <c r="E48" s="23" t="str">
        <f>"0,5778"</f>
        <v>0,5778</v>
      </c>
      <c r="F48" s="26" t="s">
        <v>18</v>
      </c>
      <c r="G48" s="23" t="s">
        <v>19</v>
      </c>
      <c r="H48" s="24" t="s">
        <v>139</v>
      </c>
      <c r="I48" s="24" t="s">
        <v>1722</v>
      </c>
      <c r="J48" s="23" t="str">
        <f>"3280,0"</f>
        <v>3280,0</v>
      </c>
      <c r="K48" s="24" t="str">
        <f>"1895,1839"</f>
        <v>1895,1839</v>
      </c>
      <c r="L48" s="23" t="s">
        <v>29</v>
      </c>
    </row>
    <row r="49" spans="1:12" ht="12.75">
      <c r="A49" s="23" t="s">
        <v>1721</v>
      </c>
      <c r="B49" s="23" t="s">
        <v>1895</v>
      </c>
      <c r="C49" s="23" t="s">
        <v>1720</v>
      </c>
      <c r="D49" s="23" t="s">
        <v>1712</v>
      </c>
      <c r="E49" s="23" t="str">
        <f>"0,5706"</f>
        <v>0,5706</v>
      </c>
      <c r="F49" s="23" t="s">
        <v>18</v>
      </c>
      <c r="G49" s="23" t="s">
        <v>19</v>
      </c>
      <c r="H49" s="24" t="s">
        <v>134</v>
      </c>
      <c r="I49" s="24" t="s">
        <v>1711</v>
      </c>
      <c r="J49" s="23" t="str">
        <f>"3255,0"</f>
        <v>3255,0</v>
      </c>
      <c r="K49" s="24" t="str">
        <f>"1857,4657"</f>
        <v>1857,4657</v>
      </c>
      <c r="L49" s="23" t="s">
        <v>1886</v>
      </c>
    </row>
    <row r="50" spans="1:12" ht="12.75">
      <c r="A50" s="23" t="s">
        <v>1719</v>
      </c>
      <c r="B50" s="23" t="s">
        <v>1891</v>
      </c>
      <c r="C50" s="23" t="s">
        <v>1718</v>
      </c>
      <c r="D50" s="23" t="s">
        <v>777</v>
      </c>
      <c r="E50" s="23" t="str">
        <f>"0,5778"</f>
        <v>0,5778</v>
      </c>
      <c r="F50" s="23" t="s">
        <v>18</v>
      </c>
      <c r="G50" s="23" t="s">
        <v>19</v>
      </c>
      <c r="H50" s="24" t="s">
        <v>139</v>
      </c>
      <c r="I50" s="24" t="s">
        <v>1717</v>
      </c>
      <c r="J50" s="23" t="str">
        <f>"2870,0"</f>
        <v>2870,0</v>
      </c>
      <c r="K50" s="24" t="str">
        <f>"1658,2859"</f>
        <v>1658,2859</v>
      </c>
      <c r="L50" s="23" t="s">
        <v>29</v>
      </c>
    </row>
    <row r="51" spans="1:12" ht="12.75">
      <c r="A51" s="23" t="s">
        <v>1716</v>
      </c>
      <c r="B51" s="23" t="s">
        <v>1891</v>
      </c>
      <c r="C51" s="23" t="s">
        <v>1715</v>
      </c>
      <c r="D51" s="23" t="s">
        <v>1243</v>
      </c>
      <c r="E51" s="23" t="str">
        <f>"0,5648"</f>
        <v>0,5648</v>
      </c>
      <c r="F51" s="23" t="s">
        <v>18</v>
      </c>
      <c r="G51" s="23" t="s">
        <v>19</v>
      </c>
      <c r="H51" s="24" t="s">
        <v>90</v>
      </c>
      <c r="I51" s="24" t="s">
        <v>1706</v>
      </c>
      <c r="J51" s="23" t="str">
        <f>"2530,0"</f>
        <v>2530,0</v>
      </c>
      <c r="K51" s="24" t="str">
        <f>"1429,0704"</f>
        <v>1429,0704</v>
      </c>
      <c r="L51" s="23" t="s">
        <v>29</v>
      </c>
    </row>
    <row r="52" spans="1:12" ht="12.75">
      <c r="A52" s="23" t="s">
        <v>1714</v>
      </c>
      <c r="B52" s="23" t="s">
        <v>1895</v>
      </c>
      <c r="C52" s="23" t="s">
        <v>1713</v>
      </c>
      <c r="D52" s="23" t="s">
        <v>1712</v>
      </c>
      <c r="E52" s="23" t="str">
        <f>"0,5706"</f>
        <v>0,5706</v>
      </c>
      <c r="F52" s="23" t="s">
        <v>18</v>
      </c>
      <c r="G52" s="23" t="s">
        <v>19</v>
      </c>
      <c r="H52" s="24" t="s">
        <v>134</v>
      </c>
      <c r="I52" s="24" t="s">
        <v>1711</v>
      </c>
      <c r="J52" s="23" t="str">
        <f>"3255,0"</f>
        <v>3255,0</v>
      </c>
      <c r="K52" s="24" t="str">
        <f>"1876,0403"</f>
        <v>1876,0403</v>
      </c>
      <c r="L52" s="23" t="s">
        <v>1886</v>
      </c>
    </row>
    <row r="53" spans="1:12" ht="12.75">
      <c r="A53" s="23" t="s">
        <v>1285</v>
      </c>
      <c r="B53" s="23" t="s">
        <v>1891</v>
      </c>
      <c r="C53" s="23" t="s">
        <v>1710</v>
      </c>
      <c r="D53" s="23" t="s">
        <v>412</v>
      </c>
      <c r="E53" s="23" t="str">
        <f>"0,5769"</f>
        <v>0,5769</v>
      </c>
      <c r="F53" s="23" t="s">
        <v>1709</v>
      </c>
      <c r="G53" s="23" t="s">
        <v>1289</v>
      </c>
      <c r="H53" s="24" t="s">
        <v>139</v>
      </c>
      <c r="I53" s="24" t="s">
        <v>1708</v>
      </c>
      <c r="J53" s="23" t="str">
        <f>"2665,0"</f>
        <v>2665,0</v>
      </c>
      <c r="K53" s="24" t="str">
        <f>"1663,5085"</f>
        <v>1663,5085</v>
      </c>
      <c r="L53" s="23"/>
    </row>
    <row r="54" spans="1:12" ht="12.75">
      <c r="A54" s="23" t="s">
        <v>1290</v>
      </c>
      <c r="B54" s="23" t="s">
        <v>1891</v>
      </c>
      <c r="C54" s="23" t="s">
        <v>1707</v>
      </c>
      <c r="D54" s="23" t="s">
        <v>1243</v>
      </c>
      <c r="E54" s="23" t="str">
        <f>"0,5648"</f>
        <v>0,5648</v>
      </c>
      <c r="F54" s="23" t="s">
        <v>18</v>
      </c>
      <c r="G54" s="23" t="s">
        <v>19</v>
      </c>
      <c r="H54" s="24" t="s">
        <v>90</v>
      </c>
      <c r="I54" s="24" t="s">
        <v>1706</v>
      </c>
      <c r="J54" s="23" t="str">
        <f>"2530,0"</f>
        <v>2530,0</v>
      </c>
      <c r="K54" s="24" t="str">
        <f>"1567,6903"</f>
        <v>1567,6903</v>
      </c>
      <c r="L54" s="23" t="s">
        <v>29</v>
      </c>
    </row>
    <row r="55" spans="1:12" ht="12.75">
      <c r="A55" s="12" t="s">
        <v>1705</v>
      </c>
      <c r="B55" s="12" t="s">
        <v>1888</v>
      </c>
      <c r="C55" s="12" t="s">
        <v>1704</v>
      </c>
      <c r="D55" s="12" t="s">
        <v>1592</v>
      </c>
      <c r="E55" s="12" t="str">
        <f>"0,5785"</f>
        <v>0,5785</v>
      </c>
      <c r="F55" s="12" t="s">
        <v>34</v>
      </c>
      <c r="G55" s="12" t="s">
        <v>183</v>
      </c>
      <c r="H55" s="14" t="s">
        <v>139</v>
      </c>
      <c r="I55" s="14" t="s">
        <v>1703</v>
      </c>
      <c r="J55" s="12" t="str">
        <f>"1845,0"</f>
        <v>1845,0</v>
      </c>
      <c r="K55" s="14" t="str">
        <f>"1078,0058"</f>
        <v>1078,0058</v>
      </c>
      <c r="L55" s="12" t="s">
        <v>29</v>
      </c>
    </row>
    <row r="57" spans="1:12" ht="15">
      <c r="A57" s="48" t="s">
        <v>66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2.75">
      <c r="A58" s="6" t="s">
        <v>1702</v>
      </c>
      <c r="B58" s="6" t="s">
        <v>1888</v>
      </c>
      <c r="C58" s="6" t="s">
        <v>1701</v>
      </c>
      <c r="D58" s="6" t="s">
        <v>1700</v>
      </c>
      <c r="E58" s="6" t="str">
        <f>"0,5403"</f>
        <v>0,5403</v>
      </c>
      <c r="F58" s="6" t="s">
        <v>18</v>
      </c>
      <c r="G58" s="6" t="s">
        <v>19</v>
      </c>
      <c r="H58" s="7" t="s">
        <v>96</v>
      </c>
      <c r="I58" s="7" t="s">
        <v>1699</v>
      </c>
      <c r="J58" s="6" t="str">
        <f>"2210,0"</f>
        <v>2210,0</v>
      </c>
      <c r="K58" s="7" t="str">
        <f>"1194,1072"</f>
        <v>1194,1072</v>
      </c>
      <c r="L58" s="6" t="s">
        <v>29</v>
      </c>
    </row>
    <row r="60" ht="15">
      <c r="F60" s="15" t="s">
        <v>74</v>
      </c>
    </row>
    <row r="61" ht="15">
      <c r="F61" s="15" t="s">
        <v>75</v>
      </c>
    </row>
    <row r="62" ht="15">
      <c r="F62" s="15" t="s">
        <v>76</v>
      </c>
    </row>
    <row r="63" ht="15">
      <c r="F63" s="15" t="s">
        <v>77</v>
      </c>
    </row>
    <row r="64" ht="15">
      <c r="F64" s="15" t="s">
        <v>77</v>
      </c>
    </row>
    <row r="65" ht="15">
      <c r="F65" s="15" t="s">
        <v>78</v>
      </c>
    </row>
    <row r="66" ht="15">
      <c r="F66" s="15"/>
    </row>
    <row r="68" spans="1:3" ht="18">
      <c r="A68" s="16" t="s">
        <v>79</v>
      </c>
      <c r="B68" s="16"/>
      <c r="C68" s="16"/>
    </row>
    <row r="69" spans="1:3" ht="15">
      <c r="A69" s="17" t="s">
        <v>80</v>
      </c>
      <c r="B69" s="17"/>
      <c r="C69" s="17"/>
    </row>
    <row r="70" spans="1:3" ht="14.25">
      <c r="A70" s="19"/>
      <c r="B70" s="19"/>
      <c r="C70" s="20" t="s">
        <v>81</v>
      </c>
    </row>
    <row r="71" spans="1:6" ht="15">
      <c r="A71" s="21" t="s">
        <v>82</v>
      </c>
      <c r="B71" s="21"/>
      <c r="C71" s="21" t="s">
        <v>83</v>
      </c>
      <c r="D71" s="21" t="s">
        <v>84</v>
      </c>
      <c r="E71" s="21" t="s">
        <v>85</v>
      </c>
      <c r="F71" s="21" t="s">
        <v>1653</v>
      </c>
    </row>
    <row r="72" spans="1:6" ht="12.75">
      <c r="A72" s="18" t="s">
        <v>1698</v>
      </c>
      <c r="B72" s="18"/>
      <c r="C72" s="5" t="s">
        <v>81</v>
      </c>
      <c r="D72" s="5" t="s">
        <v>125</v>
      </c>
      <c r="E72" s="5" t="s">
        <v>1697</v>
      </c>
      <c r="F72" s="22" t="s">
        <v>1696</v>
      </c>
    </row>
    <row r="73" spans="1:6" ht="12.75">
      <c r="A73" s="18" t="s">
        <v>1695</v>
      </c>
      <c r="B73" s="18"/>
      <c r="C73" s="5" t="s">
        <v>81</v>
      </c>
      <c r="D73" s="5" t="s">
        <v>91</v>
      </c>
      <c r="E73" s="5" t="s">
        <v>1694</v>
      </c>
      <c r="F73" s="22" t="s">
        <v>1693</v>
      </c>
    </row>
    <row r="74" spans="1:6" ht="12.75">
      <c r="A74" s="18" t="s">
        <v>1692</v>
      </c>
      <c r="B74" s="18"/>
      <c r="C74" s="5" t="s">
        <v>81</v>
      </c>
      <c r="D74" s="5" t="s">
        <v>87</v>
      </c>
      <c r="E74" s="5" t="s">
        <v>1691</v>
      </c>
      <c r="F74" s="22" t="s">
        <v>1690</v>
      </c>
    </row>
    <row r="76" spans="1:3" ht="14.25">
      <c r="A76" s="19"/>
      <c r="B76" s="19"/>
      <c r="C76" s="20" t="s">
        <v>1689</v>
      </c>
    </row>
    <row r="77" spans="1:6" ht="15">
      <c r="A77" s="21" t="s">
        <v>82</v>
      </c>
      <c r="B77" s="21"/>
      <c r="C77" s="21" t="s">
        <v>83</v>
      </c>
      <c r="D77" s="21" t="s">
        <v>84</v>
      </c>
      <c r="E77" s="21" t="s">
        <v>85</v>
      </c>
      <c r="F77" s="21" t="s">
        <v>1653</v>
      </c>
    </row>
    <row r="78" spans="1:6" ht="12.75">
      <c r="A78" s="18" t="s">
        <v>1688</v>
      </c>
      <c r="B78" s="18"/>
      <c r="C78" s="5" t="s">
        <v>1687</v>
      </c>
      <c r="D78" s="5" t="s">
        <v>87</v>
      </c>
      <c r="E78" s="5" t="s">
        <v>1686</v>
      </c>
      <c r="F78" s="22" t="s">
        <v>1685</v>
      </c>
    </row>
  </sheetData>
  <sheetProtection/>
  <mergeCells count="20">
    <mergeCell ref="A57:L57"/>
    <mergeCell ref="A46:L46"/>
    <mergeCell ref="A38:L38"/>
    <mergeCell ref="L3:L4"/>
    <mergeCell ref="A3:A4"/>
    <mergeCell ref="C3:C4"/>
    <mergeCell ref="D3:D4"/>
    <mergeCell ref="E3:E4"/>
    <mergeCell ref="F3:F4"/>
    <mergeCell ref="B3:B4"/>
    <mergeCell ref="J3:J4"/>
    <mergeCell ref="K3:K4"/>
    <mergeCell ref="G3:G4"/>
    <mergeCell ref="H3:I3"/>
    <mergeCell ref="A1:L2"/>
    <mergeCell ref="A30:L30"/>
    <mergeCell ref="A21:L21"/>
    <mergeCell ref="A13:L13"/>
    <mergeCell ref="A8:L8"/>
    <mergeCell ref="A5:L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80" zoomScaleNormal="80" zoomScalePageLayoutView="0" workbookViewId="0" topLeftCell="A79">
      <selection activeCell="C45" sqref="C45"/>
    </sheetView>
  </sheetViews>
  <sheetFormatPr defaultColWidth="9.00390625" defaultRowHeight="12.75"/>
  <cols>
    <col min="1" max="1" width="26.00390625" style="5" bestFit="1" customWidth="1"/>
    <col min="2" max="2" width="26.00390625" style="5" customWidth="1"/>
    <col min="3" max="3" width="28.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6.75390625" style="5" bestFit="1" customWidth="1"/>
    <col min="8" max="8" width="5.625" style="4" bestFit="1" customWidth="1"/>
    <col min="9" max="9" width="4.625" style="4" bestFit="1" customWidth="1"/>
    <col min="10" max="10" width="12.125" style="5" customWidth="1"/>
    <col min="11" max="11" width="9.625" style="4" bestFit="1" customWidth="1"/>
    <col min="12" max="12" width="15.875" style="5" bestFit="1" customWidth="1"/>
    <col min="13" max="16384" width="9.125" style="4" customWidth="1"/>
  </cols>
  <sheetData>
    <row r="1" spans="1:12" s="3" customFormat="1" ht="28.5" customHeight="1">
      <c r="A1" s="38" t="s">
        <v>1885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s="1" customFormat="1" ht="12.75" customHeight="1">
      <c r="A3" s="34" t="s">
        <v>0</v>
      </c>
      <c r="B3" s="44"/>
      <c r="C3" s="36" t="s">
        <v>9</v>
      </c>
      <c r="D3" s="36" t="s">
        <v>11</v>
      </c>
      <c r="E3" s="30" t="s">
        <v>1683</v>
      </c>
      <c r="F3" s="30" t="s">
        <v>7</v>
      </c>
      <c r="G3" s="30" t="s">
        <v>10</v>
      </c>
      <c r="H3" s="30" t="s">
        <v>2</v>
      </c>
      <c r="I3" s="30"/>
      <c r="J3" s="30" t="s">
        <v>433</v>
      </c>
      <c r="K3" s="30" t="s">
        <v>6</v>
      </c>
      <c r="L3" s="32" t="s">
        <v>5</v>
      </c>
    </row>
    <row r="4" spans="1:12" s="1" customFormat="1" ht="21" customHeight="1" thickBot="1">
      <c r="A4" s="35"/>
      <c r="B4" s="45"/>
      <c r="C4" s="31"/>
      <c r="D4" s="31"/>
      <c r="E4" s="31"/>
      <c r="F4" s="31"/>
      <c r="G4" s="31"/>
      <c r="H4" s="2">
        <v>1</v>
      </c>
      <c r="I4" s="2">
        <v>2</v>
      </c>
      <c r="J4" s="31"/>
      <c r="K4" s="31"/>
      <c r="L4" s="33"/>
    </row>
    <row r="5" spans="1:12" ht="15">
      <c r="A5" s="49" t="s">
        <v>128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2.75">
      <c r="A6" s="6" t="s">
        <v>1884</v>
      </c>
      <c r="B6" s="6" t="s">
        <v>1897</v>
      </c>
      <c r="C6" s="6" t="s">
        <v>1883</v>
      </c>
      <c r="D6" s="6" t="s">
        <v>1882</v>
      </c>
      <c r="E6" s="6" t="str">
        <f>"0,8604"</f>
        <v>0,8604</v>
      </c>
      <c r="F6" s="6" t="s">
        <v>34</v>
      </c>
      <c r="G6" s="6" t="s">
        <v>372</v>
      </c>
      <c r="H6" s="7" t="s">
        <v>556</v>
      </c>
      <c r="I6" s="7" t="s">
        <v>1881</v>
      </c>
      <c r="J6" s="6" t="str">
        <f>"1522,5"</f>
        <v>1522,5</v>
      </c>
      <c r="K6" s="7" t="str">
        <f>"1322,9817"</f>
        <v>1322,9817</v>
      </c>
      <c r="L6" s="6" t="s">
        <v>1880</v>
      </c>
    </row>
    <row r="8" spans="1:12" ht="15">
      <c r="A8" s="48" t="s">
        <v>110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2.75">
      <c r="A9" s="6" t="s">
        <v>1879</v>
      </c>
      <c r="B9" s="6" t="s">
        <v>1897</v>
      </c>
      <c r="C9" s="6" t="s">
        <v>1878</v>
      </c>
      <c r="D9" s="6" t="s">
        <v>113</v>
      </c>
      <c r="E9" s="6" t="str">
        <f>"0,7610"</f>
        <v>0,7610</v>
      </c>
      <c r="F9" s="6" t="s">
        <v>34</v>
      </c>
      <c r="G9" s="6" t="s">
        <v>767</v>
      </c>
      <c r="H9" s="7" t="s">
        <v>224</v>
      </c>
      <c r="I9" s="7" t="s">
        <v>1877</v>
      </c>
      <c r="J9" s="6" t="str">
        <f>"3982,5"</f>
        <v>3982,5</v>
      </c>
      <c r="K9" s="7" t="str">
        <f>"3030,4835"</f>
        <v>3030,4835</v>
      </c>
      <c r="L9" s="6" t="s">
        <v>1876</v>
      </c>
    </row>
    <row r="11" spans="1:12" ht="15">
      <c r="A11" s="48" t="s">
        <v>128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2.75">
      <c r="A12" s="6" t="s">
        <v>515</v>
      </c>
      <c r="B12" s="6" t="s">
        <v>1888</v>
      </c>
      <c r="C12" s="6" t="s">
        <v>1875</v>
      </c>
      <c r="D12" s="6" t="s">
        <v>1874</v>
      </c>
      <c r="E12" s="6" t="str">
        <f>"0,7212"</f>
        <v>0,7212</v>
      </c>
      <c r="F12" s="6" t="s">
        <v>34</v>
      </c>
      <c r="G12" s="6" t="s">
        <v>167</v>
      </c>
      <c r="H12" s="7" t="s">
        <v>556</v>
      </c>
      <c r="I12" s="7" t="s">
        <v>1717</v>
      </c>
      <c r="J12" s="6" t="str">
        <f>"2030,0"</f>
        <v>2030,0</v>
      </c>
      <c r="K12" s="7" t="str">
        <f>"1464,1375"</f>
        <v>1464,1375</v>
      </c>
      <c r="L12" s="6" t="s">
        <v>1873</v>
      </c>
    </row>
    <row r="14" spans="1:12" ht="15">
      <c r="A14" s="48" t="s">
        <v>13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12.75">
      <c r="A15" s="9" t="s">
        <v>1872</v>
      </c>
      <c r="B15" s="9" t="s">
        <v>1891</v>
      </c>
      <c r="C15" s="9" t="s">
        <v>303</v>
      </c>
      <c r="D15" s="9" t="s">
        <v>304</v>
      </c>
      <c r="E15" s="9" t="str">
        <f>"0,6482"</f>
        <v>0,6482</v>
      </c>
      <c r="F15" s="9" t="s">
        <v>18</v>
      </c>
      <c r="G15" s="9" t="s">
        <v>19</v>
      </c>
      <c r="H15" s="11" t="s">
        <v>87</v>
      </c>
      <c r="I15" s="11" t="s">
        <v>1767</v>
      </c>
      <c r="J15" s="9" t="str">
        <f>"2805,0"</f>
        <v>2805,0</v>
      </c>
      <c r="K15" s="11" t="str">
        <f>"1818,2009"</f>
        <v>1818,2009</v>
      </c>
      <c r="L15" s="9" t="s">
        <v>29</v>
      </c>
    </row>
    <row r="16" spans="1:12" ht="12.75">
      <c r="A16" s="23" t="s">
        <v>1871</v>
      </c>
      <c r="B16" s="23" t="s">
        <v>1888</v>
      </c>
      <c r="C16" s="23" t="s">
        <v>442</v>
      </c>
      <c r="D16" s="23" t="s">
        <v>1870</v>
      </c>
      <c r="E16" s="23" t="str">
        <f>"0,6612"</f>
        <v>0,6612</v>
      </c>
      <c r="F16" s="23" t="s">
        <v>34</v>
      </c>
      <c r="G16" s="23" t="s">
        <v>167</v>
      </c>
      <c r="H16" s="24" t="s">
        <v>281</v>
      </c>
      <c r="I16" s="24" t="s">
        <v>1731</v>
      </c>
      <c r="J16" s="23" t="str">
        <f>"1760,0"</f>
        <v>1760,0</v>
      </c>
      <c r="K16" s="24" t="str">
        <f>"1163,7120"</f>
        <v>1163,7120</v>
      </c>
      <c r="L16" s="23" t="s">
        <v>29</v>
      </c>
    </row>
    <row r="17" spans="1:12" ht="12.75">
      <c r="A17" s="23" t="s">
        <v>1869</v>
      </c>
      <c r="B17" s="23" t="s">
        <v>1891</v>
      </c>
      <c r="C17" s="23" t="s">
        <v>1868</v>
      </c>
      <c r="D17" s="23" t="s">
        <v>494</v>
      </c>
      <c r="E17" s="23" t="str">
        <f>"0,6503"</f>
        <v>0,6503</v>
      </c>
      <c r="F17" s="23" t="s">
        <v>34</v>
      </c>
      <c r="G17" s="23" t="s">
        <v>1867</v>
      </c>
      <c r="H17" s="24" t="s">
        <v>87</v>
      </c>
      <c r="I17" s="24" t="s">
        <v>1725</v>
      </c>
      <c r="J17" s="23" t="str">
        <f>"2722,5"</f>
        <v>2722,5</v>
      </c>
      <c r="K17" s="24" t="str">
        <f>"1942,0253"</f>
        <v>1942,0253</v>
      </c>
      <c r="L17" s="23"/>
    </row>
    <row r="18" spans="1:12" ht="12.75">
      <c r="A18" s="12" t="s">
        <v>1866</v>
      </c>
      <c r="B18" s="12" t="s">
        <v>1892</v>
      </c>
      <c r="C18" s="12" t="s">
        <v>1865</v>
      </c>
      <c r="D18" s="12" t="s">
        <v>1864</v>
      </c>
      <c r="E18" s="12" t="str">
        <f>"0,6872"</f>
        <v>0,6872</v>
      </c>
      <c r="F18" s="12" t="s">
        <v>34</v>
      </c>
      <c r="G18" s="12" t="s">
        <v>997</v>
      </c>
      <c r="H18" s="14" t="s">
        <v>117</v>
      </c>
      <c r="I18" s="14" t="s">
        <v>1711</v>
      </c>
      <c r="J18" s="12" t="str">
        <f>"2402,5"</f>
        <v>2402,5</v>
      </c>
      <c r="K18" s="14" t="str">
        <f>"1721,8656"</f>
        <v>1721,8656</v>
      </c>
      <c r="L18" s="12"/>
    </row>
    <row r="20" spans="1:12" ht="15">
      <c r="A20" s="48" t="s">
        <v>155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2.75">
      <c r="A21" s="9" t="s">
        <v>336</v>
      </c>
      <c r="B21" s="23" t="s">
        <v>1895</v>
      </c>
      <c r="C21" s="9" t="s">
        <v>1863</v>
      </c>
      <c r="D21" s="9" t="s">
        <v>338</v>
      </c>
      <c r="E21" s="9" t="str">
        <f>"0,6313"</f>
        <v>0,6313</v>
      </c>
      <c r="F21" s="27" t="s">
        <v>34</v>
      </c>
      <c r="G21" s="9" t="s">
        <v>159</v>
      </c>
      <c r="H21" s="11" t="s">
        <v>576</v>
      </c>
      <c r="I21" s="11" t="s">
        <v>1678</v>
      </c>
      <c r="J21" s="9" t="str">
        <f>"3412,5"</f>
        <v>3412,5</v>
      </c>
      <c r="K21" s="11" t="str">
        <f>"2154,1407"</f>
        <v>2154,1407</v>
      </c>
      <c r="L21" s="9"/>
    </row>
    <row r="22" spans="1:12" ht="12.75">
      <c r="A22" s="23" t="s">
        <v>1862</v>
      </c>
      <c r="B22" s="23" t="s">
        <v>1895</v>
      </c>
      <c r="C22" s="23" t="s">
        <v>1861</v>
      </c>
      <c r="D22" s="23" t="s">
        <v>1149</v>
      </c>
      <c r="E22" s="23" t="str">
        <f>"0,6263"</f>
        <v>0,6263</v>
      </c>
      <c r="F22" s="23" t="s">
        <v>34</v>
      </c>
      <c r="G22" s="23" t="s">
        <v>1860</v>
      </c>
      <c r="H22" s="24" t="s">
        <v>576</v>
      </c>
      <c r="I22" s="24" t="s">
        <v>1764</v>
      </c>
      <c r="J22" s="23" t="str">
        <f>"3237,5"</f>
        <v>3237,5</v>
      </c>
      <c r="K22" s="24" t="str">
        <f>"2027,8081"</f>
        <v>2027,8081</v>
      </c>
      <c r="L22" s="23" t="s">
        <v>29</v>
      </c>
    </row>
    <row r="23" spans="1:12" ht="12.75">
      <c r="A23" s="23" t="s">
        <v>1859</v>
      </c>
      <c r="B23" s="23" t="s">
        <v>1891</v>
      </c>
      <c r="C23" s="23" t="s">
        <v>324</v>
      </c>
      <c r="D23" s="23" t="s">
        <v>325</v>
      </c>
      <c r="E23" s="23" t="str">
        <f>"0,6234"</f>
        <v>0,6234</v>
      </c>
      <c r="F23" s="23" t="s">
        <v>18</v>
      </c>
      <c r="G23" s="23" t="s">
        <v>19</v>
      </c>
      <c r="H23" s="24" t="s">
        <v>576</v>
      </c>
      <c r="I23" s="24" t="s">
        <v>1767</v>
      </c>
      <c r="J23" s="23" t="str">
        <f>"2975,0"</f>
        <v>2975,0</v>
      </c>
      <c r="K23" s="24" t="str">
        <f>"1854,6149"</f>
        <v>1854,6149</v>
      </c>
      <c r="L23" s="23" t="s">
        <v>327</v>
      </c>
    </row>
    <row r="24" spans="1:12" ht="12.75">
      <c r="A24" s="23" t="s">
        <v>1858</v>
      </c>
      <c r="B24" s="23" t="s">
        <v>1891</v>
      </c>
      <c r="C24" s="23" t="s">
        <v>1857</v>
      </c>
      <c r="D24" s="23" t="s">
        <v>1856</v>
      </c>
      <c r="E24" s="23" t="str">
        <f>"0,6281"</f>
        <v>0,6281</v>
      </c>
      <c r="F24" s="23" t="s">
        <v>18</v>
      </c>
      <c r="G24" s="23" t="s">
        <v>19</v>
      </c>
      <c r="H24" s="24" t="s">
        <v>576</v>
      </c>
      <c r="I24" s="24" t="s">
        <v>1722</v>
      </c>
      <c r="J24" s="23" t="str">
        <f>"2800,0"</f>
        <v>2800,0</v>
      </c>
      <c r="K24" s="24" t="str">
        <f>"1758,6799"</f>
        <v>1758,6799</v>
      </c>
      <c r="L24" s="23" t="s">
        <v>29</v>
      </c>
    </row>
    <row r="25" spans="1:12" ht="12.75">
      <c r="A25" s="23" t="s">
        <v>1855</v>
      </c>
      <c r="B25" s="23" t="s">
        <v>1891</v>
      </c>
      <c r="C25" s="23" t="s">
        <v>1854</v>
      </c>
      <c r="D25" s="23" t="s">
        <v>1521</v>
      </c>
      <c r="E25" s="23" t="str">
        <f>"0,6402"</f>
        <v>0,6402</v>
      </c>
      <c r="F25" s="26" t="s">
        <v>34</v>
      </c>
      <c r="G25" s="23" t="s">
        <v>521</v>
      </c>
      <c r="H25" s="24" t="s">
        <v>282</v>
      </c>
      <c r="I25" s="24" t="s">
        <v>1722</v>
      </c>
      <c r="J25" s="23" t="str">
        <f>"2720,0"</f>
        <v>2720,0</v>
      </c>
      <c r="K25" s="24" t="str">
        <f>"1741,2080"</f>
        <v>1741,2080</v>
      </c>
      <c r="L25" s="23" t="s">
        <v>1853</v>
      </c>
    </row>
    <row r="26" spans="1:12" ht="12.75">
      <c r="A26" s="23" t="s">
        <v>1852</v>
      </c>
      <c r="B26" s="23" t="s">
        <v>1892</v>
      </c>
      <c r="C26" s="23" t="s">
        <v>1851</v>
      </c>
      <c r="D26" s="23" t="s">
        <v>325</v>
      </c>
      <c r="E26" s="23" t="str">
        <f>"0,6234"</f>
        <v>0,6234</v>
      </c>
      <c r="F26" s="23" t="s">
        <v>34</v>
      </c>
      <c r="G26" s="23" t="s">
        <v>994</v>
      </c>
      <c r="H26" s="24" t="s">
        <v>576</v>
      </c>
      <c r="I26" s="24" t="s">
        <v>1654</v>
      </c>
      <c r="J26" s="23" t="str">
        <f>"2625,0"</f>
        <v>2625,0</v>
      </c>
      <c r="K26" s="24" t="str">
        <f>"1636,4249"</f>
        <v>1636,4249</v>
      </c>
      <c r="L26" s="23" t="s">
        <v>29</v>
      </c>
    </row>
    <row r="27" spans="1:12" ht="12.75">
      <c r="A27" s="23" t="s">
        <v>1850</v>
      </c>
      <c r="B27" s="23" t="s">
        <v>1887</v>
      </c>
      <c r="C27" s="23" t="s">
        <v>329</v>
      </c>
      <c r="D27" s="23" t="s">
        <v>330</v>
      </c>
      <c r="E27" s="23" t="str">
        <f>"0,6137"</f>
        <v>0,6137</v>
      </c>
      <c r="F27" s="23" t="s">
        <v>18</v>
      </c>
      <c r="G27" s="23" t="s">
        <v>19</v>
      </c>
      <c r="H27" s="24" t="s">
        <v>232</v>
      </c>
      <c r="I27" s="24" t="s">
        <v>1849</v>
      </c>
      <c r="J27" s="23" t="str">
        <f>"1800,0"</f>
        <v>1800,0</v>
      </c>
      <c r="K27" s="24" t="str">
        <f>"1104,7500"</f>
        <v>1104,7500</v>
      </c>
      <c r="L27" s="23" t="s">
        <v>29</v>
      </c>
    </row>
    <row r="28" spans="1:12" ht="12.75">
      <c r="A28" s="12" t="s">
        <v>336</v>
      </c>
      <c r="B28" s="12" t="s">
        <v>1895</v>
      </c>
      <c r="C28" s="12" t="s">
        <v>1848</v>
      </c>
      <c r="D28" s="12" t="s">
        <v>338</v>
      </c>
      <c r="E28" s="12" t="str">
        <f>"0,6313"</f>
        <v>0,6313</v>
      </c>
      <c r="F28" s="28" t="s">
        <v>34</v>
      </c>
      <c r="G28" s="12" t="s">
        <v>159</v>
      </c>
      <c r="H28" s="14" t="s">
        <v>576</v>
      </c>
      <c r="I28" s="14" t="s">
        <v>1678</v>
      </c>
      <c r="J28" s="12" t="str">
        <f>"3412,5"</f>
        <v>3412,5</v>
      </c>
      <c r="K28" s="14" t="str">
        <f>"2780,9957"</f>
        <v>2780,9957</v>
      </c>
      <c r="L28" s="12"/>
    </row>
    <row r="30" spans="1:12" ht="15">
      <c r="A30" s="48" t="s">
        <v>30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2.75">
      <c r="A31" s="9" t="s">
        <v>1847</v>
      </c>
      <c r="B31" s="9" t="s">
        <v>1895</v>
      </c>
      <c r="C31" s="9" t="s">
        <v>1846</v>
      </c>
      <c r="D31" s="9" t="s">
        <v>1738</v>
      </c>
      <c r="E31" s="9" t="str">
        <f>"0,6090"</f>
        <v>0,6090</v>
      </c>
      <c r="F31" s="9" t="s">
        <v>1845</v>
      </c>
      <c r="G31" s="9" t="s">
        <v>1844</v>
      </c>
      <c r="H31" s="11" t="s">
        <v>263</v>
      </c>
      <c r="I31" s="11" t="s">
        <v>1843</v>
      </c>
      <c r="J31" s="9" t="str">
        <f>"3515,0"</f>
        <v>3515,0</v>
      </c>
      <c r="K31" s="11" t="str">
        <f>"2140,4593"</f>
        <v>2140,4593</v>
      </c>
      <c r="L31" s="9" t="s">
        <v>29</v>
      </c>
    </row>
    <row r="32" spans="1:12" ht="12.75">
      <c r="A32" s="23" t="s">
        <v>1842</v>
      </c>
      <c r="B32" s="23" t="s">
        <v>1891</v>
      </c>
      <c r="C32" s="23" t="s">
        <v>1841</v>
      </c>
      <c r="D32" s="23" t="s">
        <v>439</v>
      </c>
      <c r="E32" s="23" t="str">
        <f>"0,5846"</f>
        <v>0,5846</v>
      </c>
      <c r="F32" s="23" t="s">
        <v>34</v>
      </c>
      <c r="G32" s="23" t="s">
        <v>491</v>
      </c>
      <c r="H32" s="24" t="s">
        <v>91</v>
      </c>
      <c r="I32" s="24" t="s">
        <v>1722</v>
      </c>
      <c r="J32" s="23" t="str">
        <f>"3200,0"</f>
        <v>3200,0</v>
      </c>
      <c r="K32" s="24" t="str">
        <f>"1870,5601"</f>
        <v>1870,5601</v>
      </c>
      <c r="L32" s="23" t="s">
        <v>29</v>
      </c>
    </row>
    <row r="33" spans="1:12" ht="12.75">
      <c r="A33" s="23" t="s">
        <v>1840</v>
      </c>
      <c r="B33" s="23" t="s">
        <v>1892</v>
      </c>
      <c r="C33" s="23" t="s">
        <v>1839</v>
      </c>
      <c r="D33" s="23" t="s">
        <v>1838</v>
      </c>
      <c r="E33" s="23" t="str">
        <f>"0,6064"</f>
        <v>0,6064</v>
      </c>
      <c r="F33" s="23" t="s">
        <v>18</v>
      </c>
      <c r="G33" s="23" t="s">
        <v>19</v>
      </c>
      <c r="H33" s="24" t="s">
        <v>263</v>
      </c>
      <c r="I33" s="24" t="s">
        <v>1708</v>
      </c>
      <c r="J33" s="23" t="str">
        <f>"2405,0"</f>
        <v>2405,0</v>
      </c>
      <c r="K33" s="24" t="str">
        <f>"1458,3920"</f>
        <v>1458,3920</v>
      </c>
      <c r="L33" s="23" t="s">
        <v>29</v>
      </c>
    </row>
    <row r="34" spans="1:12" ht="12.75">
      <c r="A34" s="23" t="s">
        <v>1837</v>
      </c>
      <c r="B34" s="23" t="s">
        <v>1897</v>
      </c>
      <c r="C34" s="23" t="s">
        <v>1836</v>
      </c>
      <c r="D34" s="23" t="s">
        <v>1835</v>
      </c>
      <c r="E34" s="23" t="str">
        <f>"0,6093"</f>
        <v>0,6093</v>
      </c>
      <c r="F34" s="23" t="s">
        <v>18</v>
      </c>
      <c r="G34" s="23" t="s">
        <v>19</v>
      </c>
      <c r="H34" s="24" t="s">
        <v>263</v>
      </c>
      <c r="I34" s="24" t="s">
        <v>225</v>
      </c>
      <c r="J34" s="23" t="str">
        <f>"5550,0"</f>
        <v>5550,0</v>
      </c>
      <c r="K34" s="24" t="str">
        <f>"3415,4312"</f>
        <v>3415,4312</v>
      </c>
      <c r="L34" s="23" t="s">
        <v>1834</v>
      </c>
    </row>
    <row r="35" spans="1:12" ht="12.75">
      <c r="A35" s="12" t="s">
        <v>1833</v>
      </c>
      <c r="B35" s="12" t="s">
        <v>1891</v>
      </c>
      <c r="C35" s="12" t="s">
        <v>1832</v>
      </c>
      <c r="D35" s="12" t="s">
        <v>379</v>
      </c>
      <c r="E35" s="12" t="str">
        <f>"0,5880"</f>
        <v>0,5880</v>
      </c>
      <c r="F35" s="12" t="s">
        <v>18</v>
      </c>
      <c r="G35" s="12" t="s">
        <v>19</v>
      </c>
      <c r="H35" s="14" t="s">
        <v>275</v>
      </c>
      <c r="I35" s="14" t="s">
        <v>1737</v>
      </c>
      <c r="J35" s="12" t="str">
        <f>"2827,5"</f>
        <v>2827,5</v>
      </c>
      <c r="K35" s="14" t="str">
        <f>"1823,8393"</f>
        <v>1823,8393</v>
      </c>
      <c r="L35" s="12" t="s">
        <v>1831</v>
      </c>
    </row>
    <row r="37" spans="1:12" ht="15">
      <c r="A37" s="48" t="s">
        <v>45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2.75">
      <c r="A38" s="9" t="s">
        <v>1830</v>
      </c>
      <c r="B38" s="9" t="s">
        <v>1887</v>
      </c>
      <c r="C38" s="9" t="s">
        <v>1829</v>
      </c>
      <c r="D38" s="9" t="s">
        <v>1828</v>
      </c>
      <c r="E38" s="9" t="str">
        <f>"0,5767"</f>
        <v>0,5767</v>
      </c>
      <c r="F38" s="27" t="s">
        <v>18</v>
      </c>
      <c r="G38" s="9" t="s">
        <v>19</v>
      </c>
      <c r="H38" s="11" t="s">
        <v>139</v>
      </c>
      <c r="I38" s="11" t="s">
        <v>1703</v>
      </c>
      <c r="J38" s="9" t="str">
        <f>"1845,0"</f>
        <v>1845,0</v>
      </c>
      <c r="K38" s="11" t="str">
        <f>"1064,0114"</f>
        <v>1064,0114</v>
      </c>
      <c r="L38" s="9" t="s">
        <v>1827</v>
      </c>
    </row>
    <row r="39" spans="1:12" ht="12.75">
      <c r="A39" s="12" t="s">
        <v>404</v>
      </c>
      <c r="B39" s="12" t="s">
        <v>1895</v>
      </c>
      <c r="C39" s="12" t="s">
        <v>1826</v>
      </c>
      <c r="D39" s="12" t="s">
        <v>406</v>
      </c>
      <c r="E39" s="12" t="str">
        <f>"0,5709"</f>
        <v>0,5709</v>
      </c>
      <c r="F39" s="12" t="s">
        <v>18</v>
      </c>
      <c r="G39" s="12" t="s">
        <v>19</v>
      </c>
      <c r="H39" s="14" t="s">
        <v>134</v>
      </c>
      <c r="I39" s="14" t="s">
        <v>1725</v>
      </c>
      <c r="J39" s="12" t="str">
        <f>"3465,0"</f>
        <v>3465,0</v>
      </c>
      <c r="K39" s="14" t="str">
        <f>"1997,7753"</f>
        <v>1997,7753</v>
      </c>
      <c r="L39" s="12" t="s">
        <v>29</v>
      </c>
    </row>
    <row r="41" spans="1:12" ht="15">
      <c r="A41" s="48" t="s">
        <v>206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2.75">
      <c r="A42" s="9" t="s">
        <v>1825</v>
      </c>
      <c r="B42" s="9" t="s">
        <v>1895</v>
      </c>
      <c r="C42" s="9" t="s">
        <v>1824</v>
      </c>
      <c r="D42" s="9" t="s">
        <v>1600</v>
      </c>
      <c r="E42" s="9" t="str">
        <f>"0,5611"</f>
        <v>0,5611</v>
      </c>
      <c r="F42" s="9" t="s">
        <v>18</v>
      </c>
      <c r="G42" s="27" t="s">
        <v>1823</v>
      </c>
      <c r="H42" s="11" t="s">
        <v>258</v>
      </c>
      <c r="I42" s="11" t="s">
        <v>1725</v>
      </c>
      <c r="J42" s="9" t="str">
        <f>"3712,5"</f>
        <v>3712,5</v>
      </c>
      <c r="K42" s="11" t="str">
        <f>"2083,0838"</f>
        <v>2083,0838</v>
      </c>
      <c r="L42" s="9" t="s">
        <v>631</v>
      </c>
    </row>
    <row r="43" spans="1:12" ht="12.75">
      <c r="A43" s="12" t="s">
        <v>1822</v>
      </c>
      <c r="B43" s="12" t="s">
        <v>1891</v>
      </c>
      <c r="C43" s="12" t="s">
        <v>1821</v>
      </c>
      <c r="D43" s="12" t="s">
        <v>1820</v>
      </c>
      <c r="E43" s="12" t="str">
        <f>"0,5556"</f>
        <v>0,5556</v>
      </c>
      <c r="F43" s="12" t="s">
        <v>34</v>
      </c>
      <c r="G43" s="12" t="s">
        <v>159</v>
      </c>
      <c r="H43" s="14" t="s">
        <v>254</v>
      </c>
      <c r="I43" s="14" t="s">
        <v>1708</v>
      </c>
      <c r="J43" s="12" t="str">
        <f>"3055,0"</f>
        <v>3055,0</v>
      </c>
      <c r="K43" s="14" t="str">
        <f>"1697,5107"</f>
        <v>1697,5107</v>
      </c>
      <c r="L43" s="12" t="s">
        <v>29</v>
      </c>
    </row>
    <row r="45" ht="15">
      <c r="F45" s="15" t="s">
        <v>74</v>
      </c>
    </row>
    <row r="46" ht="15">
      <c r="F46" s="15" t="s">
        <v>75</v>
      </c>
    </row>
    <row r="47" ht="15">
      <c r="F47" s="15" t="s">
        <v>76</v>
      </c>
    </row>
    <row r="48" ht="15">
      <c r="F48" s="15" t="s">
        <v>77</v>
      </c>
    </row>
    <row r="49" ht="15">
      <c r="F49" s="15" t="s">
        <v>77</v>
      </c>
    </row>
    <row r="50" ht="15">
      <c r="F50" s="15" t="s">
        <v>78</v>
      </c>
    </row>
    <row r="51" ht="15">
      <c r="F51" s="15"/>
    </row>
    <row r="53" spans="1:3" ht="18">
      <c r="A53" s="16" t="s">
        <v>79</v>
      </c>
      <c r="B53" s="16"/>
      <c r="C53" s="16"/>
    </row>
    <row r="54" spans="1:3" ht="15">
      <c r="A54" s="17" t="s">
        <v>80</v>
      </c>
      <c r="B54" s="17"/>
      <c r="C54" s="17"/>
    </row>
    <row r="55" spans="1:3" ht="14.25">
      <c r="A55" s="19"/>
      <c r="B55" s="19"/>
      <c r="C55" s="20" t="s">
        <v>81</v>
      </c>
    </row>
    <row r="56" spans="1:6" ht="15">
      <c r="A56" s="21" t="s">
        <v>82</v>
      </c>
      <c r="B56" s="21"/>
      <c r="C56" s="21" t="s">
        <v>83</v>
      </c>
      <c r="D56" s="21" t="s">
        <v>84</v>
      </c>
      <c r="E56" s="21" t="s">
        <v>85</v>
      </c>
      <c r="F56" s="21" t="s">
        <v>1653</v>
      </c>
    </row>
    <row r="57" spans="1:6" ht="12.75">
      <c r="A57" s="18" t="s">
        <v>1819</v>
      </c>
      <c r="B57" s="18"/>
      <c r="C57" s="5" t="s">
        <v>81</v>
      </c>
      <c r="D57" s="5" t="s">
        <v>224</v>
      </c>
      <c r="E57" s="5" t="s">
        <v>1818</v>
      </c>
      <c r="F57" s="22" t="s">
        <v>1817</v>
      </c>
    </row>
    <row r="58" spans="1:6" ht="12.75">
      <c r="A58" s="18" t="s">
        <v>1816</v>
      </c>
      <c r="B58" s="18"/>
      <c r="C58" s="5" t="s">
        <v>81</v>
      </c>
      <c r="D58" s="5" t="s">
        <v>232</v>
      </c>
      <c r="E58" s="5" t="s">
        <v>1815</v>
      </c>
      <c r="F58" s="22" t="s">
        <v>1814</v>
      </c>
    </row>
    <row r="59" spans="1:6" ht="12.75">
      <c r="A59" s="18" t="s">
        <v>1813</v>
      </c>
      <c r="B59" s="18"/>
      <c r="C59" s="5" t="s">
        <v>81</v>
      </c>
      <c r="D59" s="5" t="s">
        <v>91</v>
      </c>
      <c r="E59" s="5" t="s">
        <v>1812</v>
      </c>
      <c r="F59" s="22" t="s">
        <v>1811</v>
      </c>
    </row>
    <row r="61" spans="1:3" ht="14.25">
      <c r="A61" s="19"/>
      <c r="B61" s="19"/>
      <c r="C61" s="20" t="s">
        <v>1689</v>
      </c>
    </row>
    <row r="62" spans="1:6" ht="15">
      <c r="A62" s="21" t="s">
        <v>82</v>
      </c>
      <c r="B62" s="21"/>
      <c r="C62" s="21" t="s">
        <v>83</v>
      </c>
      <c r="D62" s="21" t="s">
        <v>84</v>
      </c>
      <c r="E62" s="21" t="s">
        <v>85</v>
      </c>
      <c r="F62" s="21" t="s">
        <v>1653</v>
      </c>
    </row>
    <row r="63" spans="1:6" ht="12.75">
      <c r="A63" s="18" t="s">
        <v>1810</v>
      </c>
      <c r="B63" s="18"/>
      <c r="C63" s="5" t="s">
        <v>1687</v>
      </c>
      <c r="D63" s="5" t="s">
        <v>91</v>
      </c>
      <c r="E63" s="5" t="s">
        <v>1809</v>
      </c>
      <c r="F63" s="22" t="s">
        <v>1808</v>
      </c>
    </row>
  </sheetData>
  <sheetProtection/>
  <mergeCells count="20">
    <mergeCell ref="A41:L41"/>
    <mergeCell ref="A37:L37"/>
    <mergeCell ref="A30:L30"/>
    <mergeCell ref="A20:L20"/>
    <mergeCell ref="A14:L14"/>
    <mergeCell ref="A11:L11"/>
    <mergeCell ref="A8:L8"/>
    <mergeCell ref="A5:L5"/>
    <mergeCell ref="A1:L2"/>
    <mergeCell ref="H3:I3"/>
    <mergeCell ref="A3:A4"/>
    <mergeCell ref="C3:C4"/>
    <mergeCell ref="D3:D4"/>
    <mergeCell ref="L3:L4"/>
    <mergeCell ref="G3:G4"/>
    <mergeCell ref="F3:F4"/>
    <mergeCell ref="B3:B4"/>
    <mergeCell ref="E3:E4"/>
    <mergeCell ref="J3:J4"/>
    <mergeCell ref="K3:K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="70" zoomScaleNormal="70"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625" style="5" customWidth="1"/>
    <col min="3" max="3" width="28.37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29.125" style="5" bestFit="1" customWidth="1"/>
    <col min="8" max="10" width="5.625" style="4" bestFit="1" customWidth="1"/>
    <col min="11" max="11" width="4.875" style="4" bestFit="1" customWidth="1"/>
    <col min="12" max="14" width="5.625" style="4" bestFit="1" customWidth="1"/>
    <col min="15" max="15" width="4.875" style="4" bestFit="1" customWidth="1"/>
    <col min="16" max="18" width="5.625" style="4" bestFit="1" customWidth="1"/>
    <col min="19" max="19" width="4.875" style="4" bestFit="1" customWidth="1"/>
    <col min="20" max="20" width="7.875" style="5" bestFit="1" customWidth="1"/>
    <col min="21" max="21" width="8.625" style="4" bestFit="1" customWidth="1"/>
    <col min="22" max="22" width="15.625" style="5" bestFit="1" customWidth="1"/>
    <col min="23" max="16384" width="9.125" style="4" customWidth="1"/>
  </cols>
  <sheetData>
    <row r="1" spans="1:22" s="3" customFormat="1" ht="28.5" customHeight="1">
      <c r="A1" s="38" t="s">
        <v>1635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22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</row>
    <row r="3" spans="1:22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1</v>
      </c>
      <c r="I3" s="30"/>
      <c r="J3" s="30"/>
      <c r="K3" s="30"/>
      <c r="L3" s="30" t="s">
        <v>2</v>
      </c>
      <c r="M3" s="30"/>
      <c r="N3" s="30"/>
      <c r="O3" s="30"/>
      <c r="P3" s="30" t="s">
        <v>3</v>
      </c>
      <c r="Q3" s="30"/>
      <c r="R3" s="30"/>
      <c r="S3" s="30"/>
      <c r="T3" s="30" t="s">
        <v>4</v>
      </c>
      <c r="U3" s="30" t="s">
        <v>6</v>
      </c>
      <c r="V3" s="32" t="s">
        <v>5</v>
      </c>
    </row>
    <row r="4" spans="1:22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2">
        <v>1</v>
      </c>
      <c r="M4" s="2">
        <v>2</v>
      </c>
      <c r="N4" s="2">
        <v>3</v>
      </c>
      <c r="O4" s="2" t="s">
        <v>8</v>
      </c>
      <c r="P4" s="2">
        <v>1</v>
      </c>
      <c r="Q4" s="2">
        <v>2</v>
      </c>
      <c r="R4" s="2">
        <v>3</v>
      </c>
      <c r="S4" s="2" t="s">
        <v>8</v>
      </c>
      <c r="T4" s="31"/>
      <c r="U4" s="31"/>
      <c r="V4" s="33"/>
    </row>
    <row r="5" spans="1:22" ht="15">
      <c r="A5" s="49" t="s">
        <v>110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2.75">
      <c r="A6" s="6" t="s">
        <v>817</v>
      </c>
      <c r="B6" s="6" t="s">
        <v>1892</v>
      </c>
      <c r="C6" s="6" t="s">
        <v>818</v>
      </c>
      <c r="D6" s="6" t="s">
        <v>575</v>
      </c>
      <c r="E6" s="6" t="str">
        <f>"0,7813"</f>
        <v>0,7813</v>
      </c>
      <c r="F6" s="6" t="s">
        <v>34</v>
      </c>
      <c r="G6" s="6" t="s">
        <v>167</v>
      </c>
      <c r="H6" s="8" t="s">
        <v>62</v>
      </c>
      <c r="I6" s="7" t="s">
        <v>63</v>
      </c>
      <c r="J6" s="8" t="s">
        <v>321</v>
      </c>
      <c r="K6" s="8"/>
      <c r="L6" s="7" t="s">
        <v>90</v>
      </c>
      <c r="M6" s="8" t="s">
        <v>100</v>
      </c>
      <c r="N6" s="7" t="s">
        <v>100</v>
      </c>
      <c r="O6" s="8"/>
      <c r="P6" s="7" t="s">
        <v>64</v>
      </c>
      <c r="Q6" s="8" t="s">
        <v>37</v>
      </c>
      <c r="R6" s="8" t="s">
        <v>37</v>
      </c>
      <c r="S6" s="8"/>
      <c r="T6" s="6" t="str">
        <f>"515,0"</f>
        <v>515,0</v>
      </c>
      <c r="U6" s="7" t="str">
        <f>"402,3695"</f>
        <v>402,3695</v>
      </c>
      <c r="V6" s="6" t="s">
        <v>184</v>
      </c>
    </row>
    <row r="8" spans="1:22" ht="15">
      <c r="A8" s="48" t="s">
        <v>30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ht="12.75">
      <c r="A9" s="6" t="s">
        <v>819</v>
      </c>
      <c r="B9" s="6" t="s">
        <v>1895</v>
      </c>
      <c r="C9" s="6" t="s">
        <v>820</v>
      </c>
      <c r="D9" s="6" t="s">
        <v>821</v>
      </c>
      <c r="E9" s="6" t="str">
        <f>"0,6180"</f>
        <v>0,6180</v>
      </c>
      <c r="F9" s="6" t="s">
        <v>18</v>
      </c>
      <c r="G9" s="6" t="s">
        <v>19</v>
      </c>
      <c r="H9" s="7" t="s">
        <v>176</v>
      </c>
      <c r="I9" s="7" t="s">
        <v>199</v>
      </c>
      <c r="J9" s="8" t="s">
        <v>243</v>
      </c>
      <c r="K9" s="8"/>
      <c r="L9" s="7" t="s">
        <v>62</v>
      </c>
      <c r="M9" s="7" t="s">
        <v>64</v>
      </c>
      <c r="N9" s="8" t="s">
        <v>321</v>
      </c>
      <c r="O9" s="8"/>
      <c r="P9" s="7" t="s">
        <v>175</v>
      </c>
      <c r="Q9" s="7" t="s">
        <v>194</v>
      </c>
      <c r="R9" s="8"/>
      <c r="S9" s="8"/>
      <c r="T9" s="6" t="str">
        <f>"810,0"</f>
        <v>810,0</v>
      </c>
      <c r="U9" s="7" t="str">
        <f>"500,5800"</f>
        <v>500,5800</v>
      </c>
      <c r="V9" s="6" t="s">
        <v>653</v>
      </c>
    </row>
    <row r="11" spans="1:22" ht="15">
      <c r="A11" s="48" t="s">
        <v>45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12.75">
      <c r="A12" s="6" t="s">
        <v>822</v>
      </c>
      <c r="B12" s="6" t="s">
        <v>1887</v>
      </c>
      <c r="C12" s="6" t="s">
        <v>823</v>
      </c>
      <c r="D12" s="6" t="s">
        <v>824</v>
      </c>
      <c r="E12" s="6" t="str">
        <f>"0,5982"</f>
        <v>0,5982</v>
      </c>
      <c r="F12" s="6" t="s">
        <v>18</v>
      </c>
      <c r="G12" s="6" t="s">
        <v>19</v>
      </c>
      <c r="H12" s="7" t="s">
        <v>61</v>
      </c>
      <c r="I12" s="7" t="s">
        <v>747</v>
      </c>
      <c r="J12" s="8" t="s">
        <v>64</v>
      </c>
      <c r="K12" s="8"/>
      <c r="L12" s="7" t="s">
        <v>109</v>
      </c>
      <c r="M12" s="8" t="s">
        <v>123</v>
      </c>
      <c r="N12" s="7" t="s">
        <v>123</v>
      </c>
      <c r="O12" s="8"/>
      <c r="P12" s="7" t="s">
        <v>344</v>
      </c>
      <c r="Q12" s="8" t="s">
        <v>773</v>
      </c>
      <c r="R12" s="8" t="s">
        <v>773</v>
      </c>
      <c r="S12" s="8"/>
      <c r="T12" s="6" t="str">
        <f>"545,0"</f>
        <v>545,0</v>
      </c>
      <c r="U12" s="7" t="str">
        <f>"326,0190"</f>
        <v>326,0190</v>
      </c>
      <c r="V12" s="6" t="s">
        <v>825</v>
      </c>
    </row>
    <row r="14" ht="15">
      <c r="F14" s="15" t="s">
        <v>74</v>
      </c>
    </row>
    <row r="15" ht="15">
      <c r="F15" s="15" t="s">
        <v>75</v>
      </c>
    </row>
    <row r="16" ht="15">
      <c r="F16" s="15" t="s">
        <v>76</v>
      </c>
    </row>
    <row r="17" ht="15">
      <c r="F17" s="15" t="s">
        <v>77</v>
      </c>
    </row>
    <row r="18" ht="15">
      <c r="F18" s="15" t="s">
        <v>77</v>
      </c>
    </row>
    <row r="19" ht="15">
      <c r="F19" s="15" t="s">
        <v>78</v>
      </c>
    </row>
    <row r="20" ht="15">
      <c r="F20" s="15"/>
    </row>
  </sheetData>
  <sheetProtection/>
  <mergeCells count="17">
    <mergeCell ref="B3:B4"/>
    <mergeCell ref="A1:V2"/>
    <mergeCell ref="A11:V11"/>
    <mergeCell ref="A8:V8"/>
    <mergeCell ref="A5:V5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5"/>
  <sheetViews>
    <sheetView zoomScale="90" zoomScaleNormal="90" zoomScalePageLayoutView="0" workbookViewId="0" topLeftCell="A1">
      <selection activeCell="A199" sqref="A199:N199"/>
    </sheetView>
  </sheetViews>
  <sheetFormatPr defaultColWidth="9.00390625" defaultRowHeight="12.75"/>
  <cols>
    <col min="1" max="1" width="26.00390625" style="5" bestFit="1" customWidth="1"/>
    <col min="2" max="2" width="16.375" style="5" customWidth="1"/>
    <col min="3" max="3" width="29.75390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7.25390625" style="5" bestFit="1" customWidth="1"/>
    <col min="8" max="10" width="5.625" style="4" bestFit="1" customWidth="1"/>
    <col min="11" max="11" width="4.875" style="4" bestFit="1" customWidth="1"/>
    <col min="12" max="12" width="11.375" style="5" customWidth="1"/>
    <col min="13" max="13" width="8.625" style="4" bestFit="1" customWidth="1"/>
    <col min="14" max="14" width="26.625" style="5" bestFit="1" customWidth="1"/>
    <col min="15" max="16384" width="9.125" style="4" customWidth="1"/>
  </cols>
  <sheetData>
    <row r="1" spans="1:14" s="3" customFormat="1" ht="28.5" customHeight="1">
      <c r="A1" s="38" t="s">
        <v>1632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2</v>
      </c>
      <c r="I3" s="30"/>
      <c r="J3" s="30"/>
      <c r="K3" s="30"/>
      <c r="L3" s="30" t="s">
        <v>433</v>
      </c>
      <c r="M3" s="30" t="s">
        <v>6</v>
      </c>
      <c r="N3" s="32" t="s">
        <v>5</v>
      </c>
    </row>
    <row r="4" spans="1:14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31"/>
      <c r="M4" s="31"/>
      <c r="N4" s="33"/>
    </row>
    <row r="5" spans="1:14" ht="15">
      <c r="A5" s="49" t="s">
        <v>552</v>
      </c>
      <c r="B5" s="37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50" t="s">
        <v>826</v>
      </c>
      <c r="B6" s="9" t="s">
        <v>1891</v>
      </c>
      <c r="C6" s="51" t="s">
        <v>827</v>
      </c>
      <c r="D6" s="9" t="s">
        <v>828</v>
      </c>
      <c r="E6" s="9" t="str">
        <f>"1,3265"</f>
        <v>1,3265</v>
      </c>
      <c r="F6" s="9" t="s">
        <v>34</v>
      </c>
      <c r="G6" s="9" t="s">
        <v>829</v>
      </c>
      <c r="H6" s="11" t="s">
        <v>830</v>
      </c>
      <c r="I6" s="11" t="s">
        <v>97</v>
      </c>
      <c r="J6" s="11" t="s">
        <v>577</v>
      </c>
      <c r="K6" s="10"/>
      <c r="L6" s="9" t="str">
        <f>"52,5"</f>
        <v>52,5</v>
      </c>
      <c r="M6" s="11" t="str">
        <f>"69,6413"</f>
        <v>69,6413</v>
      </c>
      <c r="N6" s="9" t="s">
        <v>29</v>
      </c>
    </row>
    <row r="7" spans="1:14" ht="12.75">
      <c r="A7" s="23" t="s">
        <v>831</v>
      </c>
      <c r="B7" s="23" t="s">
        <v>1891</v>
      </c>
      <c r="C7" s="23" t="s">
        <v>832</v>
      </c>
      <c r="D7" s="23" t="s">
        <v>833</v>
      </c>
      <c r="E7" s="23" t="str">
        <f>"1,3470"</f>
        <v>1,3470</v>
      </c>
      <c r="F7" s="23" t="s">
        <v>18</v>
      </c>
      <c r="G7" s="23" t="s">
        <v>19</v>
      </c>
      <c r="H7" s="24" t="s">
        <v>830</v>
      </c>
      <c r="I7" s="24" t="s">
        <v>97</v>
      </c>
      <c r="J7" s="24" t="s">
        <v>577</v>
      </c>
      <c r="K7" s="25"/>
      <c r="L7" s="23" t="str">
        <f>"52,5"</f>
        <v>52,5</v>
      </c>
      <c r="M7" s="24" t="str">
        <f>"70,7175"</f>
        <v>70,7175</v>
      </c>
      <c r="N7" s="23"/>
    </row>
    <row r="8" spans="1:14" ht="12.75">
      <c r="A8" s="12" t="s">
        <v>834</v>
      </c>
      <c r="B8" s="12" t="s">
        <v>1890</v>
      </c>
      <c r="C8" s="12" t="s">
        <v>835</v>
      </c>
      <c r="D8" s="12" t="s">
        <v>836</v>
      </c>
      <c r="E8" s="12" t="str">
        <f>"1,3387"</f>
        <v>1,3387</v>
      </c>
      <c r="F8" s="12" t="s">
        <v>34</v>
      </c>
      <c r="G8" s="12" t="s">
        <v>287</v>
      </c>
      <c r="H8" s="13" t="s">
        <v>559</v>
      </c>
      <c r="I8" s="13" t="s">
        <v>559</v>
      </c>
      <c r="J8" s="13" t="s">
        <v>559</v>
      </c>
      <c r="K8" s="13"/>
      <c r="L8" s="12" t="str">
        <f>"0,0"</f>
        <v>0,0</v>
      </c>
      <c r="M8" s="14" t="str">
        <f>"0,0000"</f>
        <v>0,0000</v>
      </c>
      <c r="N8" s="12" t="s">
        <v>837</v>
      </c>
    </row>
    <row r="10" spans="1:14" ht="15">
      <c r="A10" s="48" t="s">
        <v>649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2.75">
      <c r="A11" s="9" t="s">
        <v>838</v>
      </c>
      <c r="B11" s="9" t="s">
        <v>1887</v>
      </c>
      <c r="C11" s="9" t="s">
        <v>839</v>
      </c>
      <c r="D11" s="9" t="s">
        <v>840</v>
      </c>
      <c r="E11" s="9" t="str">
        <f>"1,2578"</f>
        <v>1,2578</v>
      </c>
      <c r="F11" s="9" t="s">
        <v>18</v>
      </c>
      <c r="G11" s="9" t="s">
        <v>19</v>
      </c>
      <c r="H11" s="11" t="s">
        <v>557</v>
      </c>
      <c r="I11" s="10" t="s">
        <v>558</v>
      </c>
      <c r="J11" s="11" t="s">
        <v>558</v>
      </c>
      <c r="K11" s="10"/>
      <c r="L11" s="9" t="str">
        <f>"40,0"</f>
        <v>40,0</v>
      </c>
      <c r="M11" s="11" t="str">
        <f>"50,3120"</f>
        <v>50,3120</v>
      </c>
      <c r="N11" s="9" t="s">
        <v>631</v>
      </c>
    </row>
    <row r="12" spans="1:14" ht="12.75">
      <c r="A12" s="23" t="s">
        <v>841</v>
      </c>
      <c r="B12" s="23" t="s">
        <v>1890</v>
      </c>
      <c r="C12" s="23" t="s">
        <v>842</v>
      </c>
      <c r="D12" s="23" t="s">
        <v>843</v>
      </c>
      <c r="E12" s="23" t="str">
        <f>"1,2827"</f>
        <v>1,2827</v>
      </c>
      <c r="F12" s="23" t="s">
        <v>18</v>
      </c>
      <c r="G12" s="23" t="s">
        <v>19</v>
      </c>
      <c r="H12" s="25" t="s">
        <v>577</v>
      </c>
      <c r="I12" s="25" t="s">
        <v>99</v>
      </c>
      <c r="J12" s="25" t="s">
        <v>99</v>
      </c>
      <c r="K12" s="25"/>
      <c r="L12" s="23" t="str">
        <f>"0,0"</f>
        <v>0,0</v>
      </c>
      <c r="M12" s="24" t="str">
        <f>"0,0000"</f>
        <v>0,0000</v>
      </c>
      <c r="N12" s="23" t="s">
        <v>844</v>
      </c>
    </row>
    <row r="13" spans="1:14" ht="12.75">
      <c r="A13" s="23" t="s">
        <v>845</v>
      </c>
      <c r="B13" s="23" t="s">
        <v>1891</v>
      </c>
      <c r="C13" s="23" t="s">
        <v>846</v>
      </c>
      <c r="D13" s="23" t="s">
        <v>652</v>
      </c>
      <c r="E13" s="23" t="str">
        <f>"1,2466"</f>
        <v>1,2466</v>
      </c>
      <c r="F13" s="23" t="s">
        <v>18</v>
      </c>
      <c r="G13" s="23" t="s">
        <v>19</v>
      </c>
      <c r="H13" s="24" t="s">
        <v>99</v>
      </c>
      <c r="I13" s="24" t="s">
        <v>225</v>
      </c>
      <c r="J13" s="24" t="s">
        <v>581</v>
      </c>
      <c r="K13" s="25"/>
      <c r="L13" s="23" t="str">
        <f>"62,5"</f>
        <v>62,5</v>
      </c>
      <c r="M13" s="24" t="str">
        <f>"77,9125"</f>
        <v>77,9125</v>
      </c>
      <c r="N13" s="23" t="s">
        <v>847</v>
      </c>
    </row>
    <row r="14" spans="1:14" ht="12.75">
      <c r="A14" s="23" t="s">
        <v>848</v>
      </c>
      <c r="B14" s="23" t="s">
        <v>1891</v>
      </c>
      <c r="C14" s="23" t="s">
        <v>849</v>
      </c>
      <c r="D14" s="23" t="s">
        <v>850</v>
      </c>
      <c r="E14" s="23" t="str">
        <f>"1,2866"</f>
        <v>1,2866</v>
      </c>
      <c r="F14" s="23" t="s">
        <v>34</v>
      </c>
      <c r="G14" s="23" t="s">
        <v>167</v>
      </c>
      <c r="H14" s="24" t="s">
        <v>97</v>
      </c>
      <c r="I14" s="25" t="s">
        <v>98</v>
      </c>
      <c r="J14" s="24" t="s">
        <v>99</v>
      </c>
      <c r="K14" s="25"/>
      <c r="L14" s="23" t="str">
        <f>"57,5"</f>
        <v>57,5</v>
      </c>
      <c r="M14" s="24" t="str">
        <f>"73,9795"</f>
        <v>73,9795</v>
      </c>
      <c r="N14" s="23" t="s">
        <v>851</v>
      </c>
    </row>
    <row r="15" spans="1:14" ht="12.75">
      <c r="A15" s="23" t="s">
        <v>852</v>
      </c>
      <c r="B15" s="23" t="s">
        <v>1892</v>
      </c>
      <c r="C15" s="23" t="s">
        <v>853</v>
      </c>
      <c r="D15" s="23" t="s">
        <v>840</v>
      </c>
      <c r="E15" s="23" t="str">
        <f>"1,2578"</f>
        <v>1,2578</v>
      </c>
      <c r="F15" s="23" t="s">
        <v>34</v>
      </c>
      <c r="G15" s="23" t="s">
        <v>334</v>
      </c>
      <c r="H15" s="25" t="s">
        <v>97</v>
      </c>
      <c r="I15" s="24" t="s">
        <v>97</v>
      </c>
      <c r="J15" s="24" t="s">
        <v>577</v>
      </c>
      <c r="K15" s="25"/>
      <c r="L15" s="23" t="str">
        <f>"52,5"</f>
        <v>52,5</v>
      </c>
      <c r="M15" s="24" t="str">
        <f>"66,0345"</f>
        <v>66,0345</v>
      </c>
      <c r="N15" s="23" t="s">
        <v>648</v>
      </c>
    </row>
    <row r="16" spans="1:14" ht="12.75">
      <c r="A16" s="23" t="s">
        <v>854</v>
      </c>
      <c r="B16" s="23" t="s">
        <v>1892</v>
      </c>
      <c r="C16" s="23" t="s">
        <v>855</v>
      </c>
      <c r="D16" s="23" t="s">
        <v>856</v>
      </c>
      <c r="E16" s="23" t="str">
        <f>"1,2692"</f>
        <v>1,2692</v>
      </c>
      <c r="F16" s="23" t="s">
        <v>34</v>
      </c>
      <c r="G16" s="23" t="s">
        <v>857</v>
      </c>
      <c r="H16" s="24" t="s">
        <v>830</v>
      </c>
      <c r="I16" s="25" t="s">
        <v>97</v>
      </c>
      <c r="J16" s="24" t="s">
        <v>97</v>
      </c>
      <c r="K16" s="25"/>
      <c r="L16" s="23" t="str">
        <f>"50,0"</f>
        <v>50,0</v>
      </c>
      <c r="M16" s="24" t="str">
        <f>"63,4600"</f>
        <v>63,4600</v>
      </c>
      <c r="N16" s="23" t="s">
        <v>858</v>
      </c>
    </row>
    <row r="17" spans="1:14" ht="12.75">
      <c r="A17" s="12" t="s">
        <v>859</v>
      </c>
      <c r="B17" s="12" t="s">
        <v>1888</v>
      </c>
      <c r="C17" s="12" t="s">
        <v>860</v>
      </c>
      <c r="D17" s="12" t="s">
        <v>656</v>
      </c>
      <c r="E17" s="12" t="str">
        <f>"1,2597"</f>
        <v>1,2597</v>
      </c>
      <c r="F17" s="12" t="s">
        <v>18</v>
      </c>
      <c r="G17" s="12" t="s">
        <v>19</v>
      </c>
      <c r="H17" s="14" t="s">
        <v>108</v>
      </c>
      <c r="I17" s="13" t="s">
        <v>97</v>
      </c>
      <c r="J17" s="13" t="s">
        <v>97</v>
      </c>
      <c r="K17" s="13"/>
      <c r="L17" s="12" t="str">
        <f>"45,0"</f>
        <v>45,0</v>
      </c>
      <c r="M17" s="14" t="str">
        <f>"56,6865"</f>
        <v>56,6865</v>
      </c>
      <c r="N17" s="12" t="s">
        <v>861</v>
      </c>
    </row>
    <row r="19" spans="1:14" ht="15">
      <c r="A19" s="48" t="s">
        <v>92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2.75">
      <c r="A20" s="9" t="s">
        <v>862</v>
      </c>
      <c r="B20" s="9" t="s">
        <v>1892</v>
      </c>
      <c r="C20" s="9" t="s">
        <v>863</v>
      </c>
      <c r="D20" s="9" t="s">
        <v>864</v>
      </c>
      <c r="E20" s="9" t="str">
        <f>"1,2123"</f>
        <v>1,2123</v>
      </c>
      <c r="F20" s="9" t="s">
        <v>18</v>
      </c>
      <c r="G20" s="9" t="s">
        <v>19</v>
      </c>
      <c r="H20" s="11" t="s">
        <v>98</v>
      </c>
      <c r="I20" s="11" t="s">
        <v>225</v>
      </c>
      <c r="J20" s="10" t="s">
        <v>124</v>
      </c>
      <c r="K20" s="10"/>
      <c r="L20" s="9" t="str">
        <f>"60,0"</f>
        <v>60,0</v>
      </c>
      <c r="M20" s="11" t="str">
        <f>"72,7380"</f>
        <v>72,7380</v>
      </c>
      <c r="N20" s="9" t="s">
        <v>865</v>
      </c>
    </row>
    <row r="21" spans="1:14" ht="12.75">
      <c r="A21" s="23" t="s">
        <v>866</v>
      </c>
      <c r="B21" s="23" t="s">
        <v>1892</v>
      </c>
      <c r="C21" s="23" t="s">
        <v>583</v>
      </c>
      <c r="D21" s="23" t="s">
        <v>867</v>
      </c>
      <c r="E21" s="23" t="str">
        <f>"1,1849"</f>
        <v>1,1849</v>
      </c>
      <c r="F21" s="23" t="s">
        <v>18</v>
      </c>
      <c r="G21" s="23" t="s">
        <v>19</v>
      </c>
      <c r="H21" s="24" t="s">
        <v>98</v>
      </c>
      <c r="I21" s="24" t="s">
        <v>99</v>
      </c>
      <c r="J21" s="24" t="s">
        <v>225</v>
      </c>
      <c r="K21" s="25"/>
      <c r="L21" s="23" t="str">
        <f>"60,0"</f>
        <v>60,0</v>
      </c>
      <c r="M21" s="24" t="str">
        <f>"71,0940"</f>
        <v>71,0940</v>
      </c>
      <c r="N21" s="23" t="s">
        <v>868</v>
      </c>
    </row>
    <row r="22" spans="1:14" ht="12.75">
      <c r="A22" s="23" t="s">
        <v>869</v>
      </c>
      <c r="B22" s="23" t="s">
        <v>1892</v>
      </c>
      <c r="C22" s="23" t="s">
        <v>870</v>
      </c>
      <c r="D22" s="23" t="s">
        <v>871</v>
      </c>
      <c r="E22" s="23" t="str">
        <f>"1,1866"</f>
        <v>1,1866</v>
      </c>
      <c r="F22" s="23" t="s">
        <v>18</v>
      </c>
      <c r="G22" s="23" t="s">
        <v>19</v>
      </c>
      <c r="H22" s="24" t="s">
        <v>830</v>
      </c>
      <c r="I22" s="24" t="s">
        <v>577</v>
      </c>
      <c r="J22" s="24" t="s">
        <v>98</v>
      </c>
      <c r="K22" s="25"/>
      <c r="L22" s="23" t="str">
        <f>"55,0"</f>
        <v>55,0</v>
      </c>
      <c r="M22" s="24" t="str">
        <f>"65,2630"</f>
        <v>65,2630</v>
      </c>
      <c r="N22" s="23" t="s">
        <v>872</v>
      </c>
    </row>
    <row r="23" spans="1:14" ht="12.75">
      <c r="A23" s="52" t="s">
        <v>873</v>
      </c>
      <c r="B23" s="23" t="s">
        <v>1887</v>
      </c>
      <c r="C23" s="53" t="s">
        <v>874</v>
      </c>
      <c r="D23" s="23" t="s">
        <v>875</v>
      </c>
      <c r="E23" s="23" t="str">
        <f>"1,2248"</f>
        <v>1,2248</v>
      </c>
      <c r="F23" s="23" t="s">
        <v>18</v>
      </c>
      <c r="G23" s="23" t="s">
        <v>19</v>
      </c>
      <c r="H23" s="25" t="s">
        <v>559</v>
      </c>
      <c r="I23" s="25" t="s">
        <v>108</v>
      </c>
      <c r="J23" s="24" t="s">
        <v>108</v>
      </c>
      <c r="K23" s="25"/>
      <c r="L23" s="23" t="str">
        <f>"45,0"</f>
        <v>45,0</v>
      </c>
      <c r="M23" s="24" t="str">
        <f>"55,1160"</f>
        <v>55,1160</v>
      </c>
      <c r="N23" s="23"/>
    </row>
    <row r="24" spans="1:14" ht="12.75">
      <c r="A24" s="12" t="s">
        <v>876</v>
      </c>
      <c r="B24" s="12" t="s">
        <v>1889</v>
      </c>
      <c r="C24" s="12" t="s">
        <v>877</v>
      </c>
      <c r="D24" s="12" t="s">
        <v>878</v>
      </c>
      <c r="E24" s="12" t="str">
        <f>"1,2411"</f>
        <v>1,2411</v>
      </c>
      <c r="F24" s="12" t="s">
        <v>18</v>
      </c>
      <c r="G24" s="12" t="s">
        <v>19</v>
      </c>
      <c r="H24" s="14" t="s">
        <v>558</v>
      </c>
      <c r="I24" s="13" t="s">
        <v>108</v>
      </c>
      <c r="J24" s="13" t="s">
        <v>108</v>
      </c>
      <c r="K24" s="13"/>
      <c r="L24" s="12" t="str">
        <f>"40,0"</f>
        <v>40,0</v>
      </c>
      <c r="M24" s="14" t="str">
        <f>"49,6440"</f>
        <v>49,6440</v>
      </c>
      <c r="N24" s="12" t="s">
        <v>879</v>
      </c>
    </row>
    <row r="26" spans="1:14" ht="15">
      <c r="A26" s="48" t="s">
        <v>103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</row>
    <row r="27" spans="1:14" ht="12.75">
      <c r="A27" s="9" t="s">
        <v>881</v>
      </c>
      <c r="B27" s="9" t="s">
        <v>1895</v>
      </c>
      <c r="C27" s="9" t="s">
        <v>882</v>
      </c>
      <c r="D27" s="9" t="s">
        <v>563</v>
      </c>
      <c r="E27" s="9" t="str">
        <f>"1,1295"</f>
        <v>1,1295</v>
      </c>
      <c r="F27" s="9" t="s">
        <v>18</v>
      </c>
      <c r="G27" s="9" t="s">
        <v>19</v>
      </c>
      <c r="H27" s="11" t="s">
        <v>125</v>
      </c>
      <c r="I27" s="11" t="s">
        <v>281</v>
      </c>
      <c r="J27" s="11" t="s">
        <v>87</v>
      </c>
      <c r="K27" s="10" t="s">
        <v>282</v>
      </c>
      <c r="L27" s="9" t="str">
        <f>"82,5"</f>
        <v>82,5</v>
      </c>
      <c r="M27" s="11" t="str">
        <f>"93,1838"</f>
        <v>93,1838</v>
      </c>
      <c r="N27" s="9" t="s">
        <v>29</v>
      </c>
    </row>
    <row r="28" spans="1:14" ht="12.75">
      <c r="A28" s="12" t="s">
        <v>881</v>
      </c>
      <c r="B28" s="12" t="s">
        <v>1895</v>
      </c>
      <c r="C28" s="12" t="s">
        <v>883</v>
      </c>
      <c r="D28" s="12" t="s">
        <v>563</v>
      </c>
      <c r="E28" s="12" t="str">
        <f>"1,1295"</f>
        <v>1,1295</v>
      </c>
      <c r="F28" s="12" t="s">
        <v>18</v>
      </c>
      <c r="G28" s="12" t="s">
        <v>19</v>
      </c>
      <c r="H28" s="14" t="s">
        <v>125</v>
      </c>
      <c r="I28" s="14" t="s">
        <v>281</v>
      </c>
      <c r="J28" s="14" t="s">
        <v>87</v>
      </c>
      <c r="K28" s="13" t="s">
        <v>282</v>
      </c>
      <c r="L28" s="12" t="str">
        <f>"82,5"</f>
        <v>82,5</v>
      </c>
      <c r="M28" s="14" t="str">
        <f>"93,1838"</f>
        <v>93,1838</v>
      </c>
      <c r="N28" s="12" t="s">
        <v>29</v>
      </c>
    </row>
    <row r="30" spans="1:14" ht="15">
      <c r="A30" s="48" t="s">
        <v>110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12.75">
      <c r="A31" s="9" t="s">
        <v>884</v>
      </c>
      <c r="B31" s="9" t="s">
        <v>1889</v>
      </c>
      <c r="C31" s="9" t="s">
        <v>885</v>
      </c>
      <c r="D31" s="9" t="s">
        <v>886</v>
      </c>
      <c r="E31" s="9" t="str">
        <f>"1,0444"</f>
        <v>1,0444</v>
      </c>
      <c r="F31" s="9" t="s">
        <v>34</v>
      </c>
      <c r="G31" s="9" t="s">
        <v>622</v>
      </c>
      <c r="H31" s="11" t="s">
        <v>557</v>
      </c>
      <c r="I31" s="11" t="s">
        <v>559</v>
      </c>
      <c r="J31" s="11" t="s">
        <v>108</v>
      </c>
      <c r="K31" s="10"/>
      <c r="L31" s="9" t="str">
        <f>"45,0"</f>
        <v>45,0</v>
      </c>
      <c r="M31" s="11" t="str">
        <f>"46,9980"</f>
        <v>46,9980</v>
      </c>
      <c r="N31" s="9" t="s">
        <v>887</v>
      </c>
    </row>
    <row r="32" spans="1:14" ht="12.75">
      <c r="A32" s="23" t="s">
        <v>889</v>
      </c>
      <c r="B32" s="23" t="s">
        <v>1891</v>
      </c>
      <c r="C32" s="23" t="s">
        <v>890</v>
      </c>
      <c r="D32" s="23" t="s">
        <v>122</v>
      </c>
      <c r="E32" s="23" t="str">
        <f>"1,0625"</f>
        <v>1,0625</v>
      </c>
      <c r="F32" s="23" t="s">
        <v>18</v>
      </c>
      <c r="G32" s="23" t="s">
        <v>19</v>
      </c>
      <c r="H32" s="24" t="s">
        <v>116</v>
      </c>
      <c r="I32" s="24" t="s">
        <v>125</v>
      </c>
      <c r="J32" s="24" t="s">
        <v>117</v>
      </c>
      <c r="K32" s="25"/>
      <c r="L32" s="23" t="str">
        <f>"77,5"</f>
        <v>77,5</v>
      </c>
      <c r="M32" s="24" t="str">
        <f>"82,3438"</f>
        <v>82,3438</v>
      </c>
      <c r="N32" s="23" t="s">
        <v>891</v>
      </c>
    </row>
    <row r="33" spans="1:14" ht="12.75">
      <c r="A33" s="23" t="s">
        <v>892</v>
      </c>
      <c r="B33" s="23" t="s">
        <v>1892</v>
      </c>
      <c r="C33" s="23" t="s">
        <v>893</v>
      </c>
      <c r="D33" s="23" t="s">
        <v>687</v>
      </c>
      <c r="E33" s="23" t="str">
        <f>"1,0467"</f>
        <v>1,0467</v>
      </c>
      <c r="F33" s="23" t="s">
        <v>34</v>
      </c>
      <c r="G33" s="26" t="s">
        <v>1634</v>
      </c>
      <c r="H33" s="24" t="s">
        <v>124</v>
      </c>
      <c r="I33" s="24" t="s">
        <v>116</v>
      </c>
      <c r="J33" s="24" t="s">
        <v>125</v>
      </c>
      <c r="K33" s="25"/>
      <c r="L33" s="23" t="str">
        <f>"75,0"</f>
        <v>75,0</v>
      </c>
      <c r="M33" s="24" t="str">
        <f>"78,5025"</f>
        <v>78,5025</v>
      </c>
      <c r="N33" s="23" t="s">
        <v>894</v>
      </c>
    </row>
    <row r="34" spans="1:14" ht="12.75">
      <c r="A34" s="23" t="s">
        <v>895</v>
      </c>
      <c r="B34" s="23" t="s">
        <v>1892</v>
      </c>
      <c r="C34" s="23" t="s">
        <v>896</v>
      </c>
      <c r="D34" s="23" t="s">
        <v>897</v>
      </c>
      <c r="E34" s="23" t="str">
        <f>"1,0283"</f>
        <v>1,0283</v>
      </c>
      <c r="F34" s="23" t="s">
        <v>18</v>
      </c>
      <c r="G34" s="23" t="s">
        <v>19</v>
      </c>
      <c r="H34" s="24" t="s">
        <v>556</v>
      </c>
      <c r="I34" s="25" t="s">
        <v>117</v>
      </c>
      <c r="J34" s="25" t="s">
        <v>117</v>
      </c>
      <c r="K34" s="25"/>
      <c r="L34" s="23" t="str">
        <f>"72,5"</f>
        <v>72,5</v>
      </c>
      <c r="M34" s="24" t="str">
        <f>"74,5518"</f>
        <v>74,5518</v>
      </c>
      <c r="N34" s="23" t="s">
        <v>533</v>
      </c>
    </row>
    <row r="35" spans="1:14" ht="12.75">
      <c r="A35" s="23" t="s">
        <v>898</v>
      </c>
      <c r="B35" s="23" t="s">
        <v>1893</v>
      </c>
      <c r="C35" s="23" t="s">
        <v>899</v>
      </c>
      <c r="D35" s="23" t="s">
        <v>900</v>
      </c>
      <c r="E35" s="23" t="str">
        <f>"1,0911"</f>
        <v>1,0911</v>
      </c>
      <c r="F35" s="23" t="s">
        <v>34</v>
      </c>
      <c r="G35" s="23" t="s">
        <v>183</v>
      </c>
      <c r="H35" s="24" t="s">
        <v>901</v>
      </c>
      <c r="I35" s="25" t="s">
        <v>558</v>
      </c>
      <c r="J35" s="25" t="s">
        <v>558</v>
      </c>
      <c r="K35" s="25"/>
      <c r="L35" s="23" t="str">
        <f>"35,0"</f>
        <v>35,0</v>
      </c>
      <c r="M35" s="24" t="str">
        <f>"38,1885"</f>
        <v>38,1885</v>
      </c>
      <c r="N35" s="23" t="s">
        <v>902</v>
      </c>
    </row>
    <row r="36" spans="1:14" ht="12.75">
      <c r="A36" s="23" t="s">
        <v>903</v>
      </c>
      <c r="B36" s="23" t="s">
        <v>1890</v>
      </c>
      <c r="C36" s="23" t="s">
        <v>904</v>
      </c>
      <c r="D36" s="23" t="s">
        <v>905</v>
      </c>
      <c r="E36" s="23" t="str">
        <f>"1,0740"</f>
        <v>1,0740</v>
      </c>
      <c r="F36" s="23" t="s">
        <v>58</v>
      </c>
      <c r="G36" s="23" t="s">
        <v>59</v>
      </c>
      <c r="H36" s="25" t="s">
        <v>98</v>
      </c>
      <c r="I36" s="25" t="s">
        <v>98</v>
      </c>
      <c r="J36" s="25" t="s">
        <v>98</v>
      </c>
      <c r="K36" s="25"/>
      <c r="L36" s="23" t="str">
        <f>"0,0"</f>
        <v>0,0</v>
      </c>
      <c r="M36" s="24" t="str">
        <f>"0,0000"</f>
        <v>0,0000</v>
      </c>
      <c r="N36" s="23"/>
    </row>
    <row r="37" spans="1:14" ht="12.75">
      <c r="A37" s="12" t="s">
        <v>906</v>
      </c>
      <c r="B37" s="12" t="s">
        <v>1888</v>
      </c>
      <c r="C37" s="12" t="s">
        <v>907</v>
      </c>
      <c r="D37" s="12" t="s">
        <v>687</v>
      </c>
      <c r="E37" s="12" t="str">
        <f>"1,0467"</f>
        <v>1,0467</v>
      </c>
      <c r="F37" s="12" t="s">
        <v>18</v>
      </c>
      <c r="G37" s="12" t="s">
        <v>19</v>
      </c>
      <c r="H37" s="14" t="s">
        <v>97</v>
      </c>
      <c r="I37" s="14" t="s">
        <v>577</v>
      </c>
      <c r="J37" s="14" t="s">
        <v>98</v>
      </c>
      <c r="K37" s="13"/>
      <c r="L37" s="12" t="str">
        <f>"55,0"</f>
        <v>55,0</v>
      </c>
      <c r="M37" s="14" t="str">
        <f>"59,3531"</f>
        <v>59,3531</v>
      </c>
      <c r="N37" s="12" t="s">
        <v>908</v>
      </c>
    </row>
    <row r="39" spans="1:14" ht="15">
      <c r="A39" s="48" t="s">
        <v>128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12.75">
      <c r="A40" s="9" t="s">
        <v>909</v>
      </c>
      <c r="B40" s="9" t="s">
        <v>1887</v>
      </c>
      <c r="C40" s="9" t="s">
        <v>910</v>
      </c>
      <c r="D40" s="9" t="s">
        <v>911</v>
      </c>
      <c r="E40" s="9" t="str">
        <f>"0,9862"</f>
        <v>0,9862</v>
      </c>
      <c r="F40" s="9" t="s">
        <v>18</v>
      </c>
      <c r="G40" s="9" t="s">
        <v>19</v>
      </c>
      <c r="H40" s="11" t="s">
        <v>97</v>
      </c>
      <c r="I40" s="11" t="s">
        <v>98</v>
      </c>
      <c r="J40" s="11" t="s">
        <v>99</v>
      </c>
      <c r="K40" s="10"/>
      <c r="L40" s="9" t="str">
        <f>"57,5"</f>
        <v>57,5</v>
      </c>
      <c r="M40" s="11" t="str">
        <f>"56,7065"</f>
        <v>56,7065</v>
      </c>
      <c r="N40" s="9" t="s">
        <v>912</v>
      </c>
    </row>
    <row r="41" spans="1:14" ht="12.75">
      <c r="A41" s="23" t="s">
        <v>914</v>
      </c>
      <c r="B41" s="23" t="s">
        <v>1891</v>
      </c>
      <c r="C41" s="23" t="s">
        <v>915</v>
      </c>
      <c r="D41" s="23" t="s">
        <v>286</v>
      </c>
      <c r="E41" s="23" t="str">
        <f>"0,9547"</f>
        <v>0,9547</v>
      </c>
      <c r="F41" s="23" t="s">
        <v>18</v>
      </c>
      <c r="G41" s="23" t="s">
        <v>19</v>
      </c>
      <c r="H41" s="24" t="s">
        <v>87</v>
      </c>
      <c r="I41" s="24" t="s">
        <v>282</v>
      </c>
      <c r="J41" s="24" t="s">
        <v>576</v>
      </c>
      <c r="K41" s="25"/>
      <c r="L41" s="23" t="str">
        <f>"87,5"</f>
        <v>87,5</v>
      </c>
      <c r="M41" s="24" t="str">
        <f>"83,5362"</f>
        <v>83,5362</v>
      </c>
      <c r="N41" s="23" t="s">
        <v>916</v>
      </c>
    </row>
    <row r="42" spans="1:14" ht="12.75">
      <c r="A42" s="12" t="s">
        <v>917</v>
      </c>
      <c r="B42" s="12" t="s">
        <v>1887</v>
      </c>
      <c r="C42" s="12" t="s">
        <v>918</v>
      </c>
      <c r="D42" s="12" t="s">
        <v>131</v>
      </c>
      <c r="E42" s="12" t="str">
        <f>"0,9621"</f>
        <v>0,9621</v>
      </c>
      <c r="F42" s="12" t="s">
        <v>18</v>
      </c>
      <c r="G42" s="12" t="s">
        <v>19</v>
      </c>
      <c r="H42" s="14" t="s">
        <v>99</v>
      </c>
      <c r="I42" s="13" t="s">
        <v>581</v>
      </c>
      <c r="J42" s="13" t="s">
        <v>224</v>
      </c>
      <c r="K42" s="13"/>
      <c r="L42" s="12" t="str">
        <f>"57,5"</f>
        <v>57,5</v>
      </c>
      <c r="M42" s="14" t="str">
        <f>"55,3208"</f>
        <v>55,3208</v>
      </c>
      <c r="N42" s="12" t="s">
        <v>200</v>
      </c>
    </row>
    <row r="44" spans="1:14" ht="15">
      <c r="A44" s="48" t="s">
        <v>92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12.75">
      <c r="A45" s="6" t="s">
        <v>919</v>
      </c>
      <c r="B45" s="6" t="s">
        <v>1893</v>
      </c>
      <c r="C45" s="6" t="s">
        <v>920</v>
      </c>
      <c r="D45" s="6" t="s">
        <v>850</v>
      </c>
      <c r="E45" s="6" t="str">
        <f>"1,0254"</f>
        <v>1,0254</v>
      </c>
      <c r="F45" s="6" t="s">
        <v>18</v>
      </c>
      <c r="G45" s="6" t="s">
        <v>19</v>
      </c>
      <c r="H45" s="7" t="s">
        <v>559</v>
      </c>
      <c r="I45" s="7" t="s">
        <v>108</v>
      </c>
      <c r="J45" s="7" t="s">
        <v>830</v>
      </c>
      <c r="K45" s="8"/>
      <c r="L45" s="6" t="str">
        <f>"47,5"</f>
        <v>47,5</v>
      </c>
      <c r="M45" s="7" t="str">
        <f>"48,7065"</f>
        <v>48,7065</v>
      </c>
      <c r="N45" s="6"/>
    </row>
    <row r="47" spans="1:14" ht="15">
      <c r="A47" s="48" t="s">
        <v>103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12.75">
      <c r="A48" s="9" t="s">
        <v>922</v>
      </c>
      <c r="B48" s="9" t="s">
        <v>1896</v>
      </c>
      <c r="C48" s="9" t="s">
        <v>923</v>
      </c>
      <c r="D48" s="9" t="s">
        <v>567</v>
      </c>
      <c r="E48" s="9" t="str">
        <f>"0,8717"</f>
        <v>0,8717</v>
      </c>
      <c r="F48" s="9" t="s">
        <v>924</v>
      </c>
      <c r="G48" s="9" t="s">
        <v>925</v>
      </c>
      <c r="H48" s="11" t="s">
        <v>225</v>
      </c>
      <c r="I48" s="11" t="s">
        <v>224</v>
      </c>
      <c r="J48" s="10" t="s">
        <v>125</v>
      </c>
      <c r="K48" s="10"/>
      <c r="L48" s="9" t="str">
        <f>"67,5"</f>
        <v>67,5</v>
      </c>
      <c r="M48" s="11" t="str">
        <f>"58,8397"</f>
        <v>58,8397</v>
      </c>
      <c r="N48" s="9" t="s">
        <v>926</v>
      </c>
    </row>
    <row r="49" spans="1:14" ht="12.75">
      <c r="A49" s="23" t="s">
        <v>927</v>
      </c>
      <c r="B49" s="23" t="s">
        <v>1888</v>
      </c>
      <c r="C49" s="23" t="s">
        <v>928</v>
      </c>
      <c r="D49" s="23" t="s">
        <v>567</v>
      </c>
      <c r="E49" s="23" t="str">
        <f>"0,8717"</f>
        <v>0,8717</v>
      </c>
      <c r="F49" s="23" t="s">
        <v>18</v>
      </c>
      <c r="G49" s="23" t="s">
        <v>19</v>
      </c>
      <c r="H49" s="25" t="s">
        <v>282</v>
      </c>
      <c r="I49" s="24" t="s">
        <v>232</v>
      </c>
      <c r="J49" s="25" t="s">
        <v>133</v>
      </c>
      <c r="K49" s="25"/>
      <c r="L49" s="23" t="str">
        <f>"90,0"</f>
        <v>90,0</v>
      </c>
      <c r="M49" s="24" t="str">
        <f>"78,4530"</f>
        <v>78,4530</v>
      </c>
      <c r="N49" s="23" t="s">
        <v>29</v>
      </c>
    </row>
    <row r="50" spans="1:14" ht="12.75">
      <c r="A50" s="12" t="s">
        <v>929</v>
      </c>
      <c r="B50" s="12" t="s">
        <v>1896</v>
      </c>
      <c r="C50" s="12" t="s">
        <v>930</v>
      </c>
      <c r="D50" s="12" t="s">
        <v>931</v>
      </c>
      <c r="E50" s="12" t="str">
        <f>"0,9088"</f>
        <v>0,9088</v>
      </c>
      <c r="F50" s="12" t="s">
        <v>18</v>
      </c>
      <c r="G50" s="12" t="s">
        <v>19</v>
      </c>
      <c r="H50" s="14" t="s">
        <v>97</v>
      </c>
      <c r="I50" s="14" t="s">
        <v>98</v>
      </c>
      <c r="J50" s="13" t="s">
        <v>225</v>
      </c>
      <c r="K50" s="13"/>
      <c r="L50" s="12" t="str">
        <f>"55,0"</f>
        <v>55,0</v>
      </c>
      <c r="M50" s="14" t="str">
        <f>"49,9840"</f>
        <v>49,9840</v>
      </c>
      <c r="N50" s="12"/>
    </row>
    <row r="52" spans="1:14" ht="15">
      <c r="A52" s="48" t="s">
        <v>110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ht="12.75">
      <c r="A53" s="9" t="s">
        <v>932</v>
      </c>
      <c r="B53" s="9" t="s">
        <v>1893</v>
      </c>
      <c r="C53" s="9" t="s">
        <v>933</v>
      </c>
      <c r="D53" s="9" t="s">
        <v>464</v>
      </c>
      <c r="E53" s="9" t="str">
        <f>"0,7962"</f>
        <v>0,7962</v>
      </c>
      <c r="F53" s="9" t="s">
        <v>934</v>
      </c>
      <c r="G53" s="9" t="s">
        <v>935</v>
      </c>
      <c r="H53" s="11" t="s">
        <v>98</v>
      </c>
      <c r="I53" s="10" t="s">
        <v>225</v>
      </c>
      <c r="J53" s="10" t="s">
        <v>225</v>
      </c>
      <c r="K53" s="10"/>
      <c r="L53" s="9" t="str">
        <f>"55,0"</f>
        <v>55,0</v>
      </c>
      <c r="M53" s="11" t="str">
        <f>"43,7910"</f>
        <v>43,7910</v>
      </c>
      <c r="N53" s="9" t="s">
        <v>936</v>
      </c>
    </row>
    <row r="54" spans="1:14" ht="12.75">
      <c r="A54" s="23" t="s">
        <v>937</v>
      </c>
      <c r="B54" s="23" t="s">
        <v>1889</v>
      </c>
      <c r="C54" s="23" t="s">
        <v>938</v>
      </c>
      <c r="D54" s="23" t="s">
        <v>939</v>
      </c>
      <c r="E54" s="23" t="str">
        <f>"0,7872"</f>
        <v>0,7872</v>
      </c>
      <c r="F54" s="23" t="s">
        <v>34</v>
      </c>
      <c r="G54" s="23" t="s">
        <v>352</v>
      </c>
      <c r="H54" s="24" t="s">
        <v>87</v>
      </c>
      <c r="I54" s="24" t="s">
        <v>576</v>
      </c>
      <c r="J54" s="25" t="s">
        <v>232</v>
      </c>
      <c r="K54" s="25"/>
      <c r="L54" s="23" t="str">
        <f>"87,5"</f>
        <v>87,5</v>
      </c>
      <c r="M54" s="24" t="str">
        <f>"68,8800"</f>
        <v>68,8800</v>
      </c>
      <c r="N54" s="23" t="s">
        <v>940</v>
      </c>
    </row>
    <row r="55" spans="1:14" ht="12.75">
      <c r="A55" s="23" t="s">
        <v>941</v>
      </c>
      <c r="B55" s="23" t="s">
        <v>1892</v>
      </c>
      <c r="C55" s="23" t="s">
        <v>942</v>
      </c>
      <c r="D55" s="23" t="s">
        <v>279</v>
      </c>
      <c r="E55" s="23" t="str">
        <f>"0,7881"</f>
        <v>0,7881</v>
      </c>
      <c r="F55" s="23" t="s">
        <v>943</v>
      </c>
      <c r="G55" s="23" t="s">
        <v>944</v>
      </c>
      <c r="H55" s="24" t="s">
        <v>222</v>
      </c>
      <c r="I55" s="24" t="s">
        <v>100</v>
      </c>
      <c r="J55" s="25" t="s">
        <v>109</v>
      </c>
      <c r="K55" s="25"/>
      <c r="L55" s="23" t="str">
        <f>"120,0"</f>
        <v>120,0</v>
      </c>
      <c r="M55" s="24" t="str">
        <f>"94,5720"</f>
        <v>94,5720</v>
      </c>
      <c r="N55" s="23"/>
    </row>
    <row r="56" spans="1:14" ht="12.75">
      <c r="A56" s="23" t="s">
        <v>945</v>
      </c>
      <c r="B56" s="23" t="s">
        <v>1891</v>
      </c>
      <c r="C56" s="23" t="s">
        <v>946</v>
      </c>
      <c r="D56" s="23" t="s">
        <v>687</v>
      </c>
      <c r="E56" s="23" t="str">
        <f>"0,7932"</f>
        <v>0,7932</v>
      </c>
      <c r="F56" s="23" t="s">
        <v>18</v>
      </c>
      <c r="G56" s="23" t="s">
        <v>19</v>
      </c>
      <c r="H56" s="24" t="s">
        <v>123</v>
      </c>
      <c r="I56" s="24" t="s">
        <v>288</v>
      </c>
      <c r="J56" s="25" t="s">
        <v>23</v>
      </c>
      <c r="K56" s="25"/>
      <c r="L56" s="23" t="str">
        <f>"142,5"</f>
        <v>142,5</v>
      </c>
      <c r="M56" s="24" t="str">
        <f>"113,0310"</f>
        <v>113,0310</v>
      </c>
      <c r="N56" s="23" t="s">
        <v>29</v>
      </c>
    </row>
    <row r="57" spans="1:14" ht="12.75">
      <c r="A57" s="23" t="s">
        <v>947</v>
      </c>
      <c r="B57" s="23" t="s">
        <v>1891</v>
      </c>
      <c r="C57" s="23" t="s">
        <v>948</v>
      </c>
      <c r="D57" s="23" t="s">
        <v>949</v>
      </c>
      <c r="E57" s="23" t="str">
        <f>"0,8046"</f>
        <v>0,8046</v>
      </c>
      <c r="F57" s="23" t="s">
        <v>950</v>
      </c>
      <c r="G57" s="23" t="s">
        <v>951</v>
      </c>
      <c r="H57" s="24" t="s">
        <v>109</v>
      </c>
      <c r="I57" s="24" t="s">
        <v>101</v>
      </c>
      <c r="J57" s="25" t="s">
        <v>96</v>
      </c>
      <c r="K57" s="25"/>
      <c r="L57" s="23" t="str">
        <f>"127,5"</f>
        <v>127,5</v>
      </c>
      <c r="M57" s="24" t="str">
        <f>"102,5865"</f>
        <v>102,5865</v>
      </c>
      <c r="N57" s="23" t="s">
        <v>29</v>
      </c>
    </row>
    <row r="58" spans="1:14" ht="12.75">
      <c r="A58" s="23" t="s">
        <v>952</v>
      </c>
      <c r="B58" s="23" t="s">
        <v>1892</v>
      </c>
      <c r="C58" s="23" t="s">
        <v>438</v>
      </c>
      <c r="D58" s="23" t="s">
        <v>953</v>
      </c>
      <c r="E58" s="23" t="str">
        <f>"0,7785"</f>
        <v>0,7785</v>
      </c>
      <c r="F58" s="23" t="s">
        <v>18</v>
      </c>
      <c r="G58" s="23" t="s">
        <v>19</v>
      </c>
      <c r="H58" s="24" t="s">
        <v>144</v>
      </c>
      <c r="I58" s="25" t="s">
        <v>101</v>
      </c>
      <c r="J58" s="25" t="s">
        <v>101</v>
      </c>
      <c r="K58" s="25"/>
      <c r="L58" s="23" t="str">
        <f>"122,5"</f>
        <v>122,5</v>
      </c>
      <c r="M58" s="24" t="str">
        <f>"95,3663"</f>
        <v>95,3663</v>
      </c>
      <c r="N58" s="23" t="s">
        <v>954</v>
      </c>
    </row>
    <row r="59" spans="1:14" ht="12.75">
      <c r="A59" s="23" t="s">
        <v>955</v>
      </c>
      <c r="B59" s="23" t="s">
        <v>1892</v>
      </c>
      <c r="C59" s="23" t="s">
        <v>956</v>
      </c>
      <c r="D59" s="23" t="s">
        <v>957</v>
      </c>
      <c r="E59" s="23" t="str">
        <f>"0,7747"</f>
        <v>0,7747</v>
      </c>
      <c r="F59" s="23" t="s">
        <v>18</v>
      </c>
      <c r="G59" s="23" t="s">
        <v>19</v>
      </c>
      <c r="H59" s="24" t="s">
        <v>258</v>
      </c>
      <c r="I59" s="24" t="s">
        <v>100</v>
      </c>
      <c r="J59" s="24" t="s">
        <v>144</v>
      </c>
      <c r="K59" s="25"/>
      <c r="L59" s="23" t="str">
        <f>"122,5"</f>
        <v>122,5</v>
      </c>
      <c r="M59" s="24" t="str">
        <f>"94,9007"</f>
        <v>94,9007</v>
      </c>
      <c r="N59" s="23" t="s">
        <v>958</v>
      </c>
    </row>
    <row r="60" spans="1:14" ht="12.75">
      <c r="A60" s="23" t="s">
        <v>959</v>
      </c>
      <c r="B60" s="23" t="s">
        <v>1892</v>
      </c>
      <c r="C60" s="23" t="s">
        <v>960</v>
      </c>
      <c r="D60" s="23" t="s">
        <v>961</v>
      </c>
      <c r="E60" s="23" t="str">
        <f>"0,7852"</f>
        <v>0,7852</v>
      </c>
      <c r="F60" s="23" t="s">
        <v>34</v>
      </c>
      <c r="G60" s="23" t="s">
        <v>167</v>
      </c>
      <c r="H60" s="24" t="s">
        <v>90</v>
      </c>
      <c r="I60" s="24" t="s">
        <v>100</v>
      </c>
      <c r="J60" s="25" t="s">
        <v>101</v>
      </c>
      <c r="K60" s="25"/>
      <c r="L60" s="23" t="str">
        <f>"120,0"</f>
        <v>120,0</v>
      </c>
      <c r="M60" s="24" t="str">
        <f>"94,2240"</f>
        <v>94,2240</v>
      </c>
      <c r="N60" s="23" t="s">
        <v>962</v>
      </c>
    </row>
    <row r="61" spans="1:14" ht="12.75">
      <c r="A61" s="23" t="s">
        <v>963</v>
      </c>
      <c r="B61" s="23" t="s">
        <v>1892</v>
      </c>
      <c r="C61" s="23" t="s">
        <v>964</v>
      </c>
      <c r="D61" s="23" t="s">
        <v>965</v>
      </c>
      <c r="E61" s="23" t="str">
        <f>"0,7738"</f>
        <v>0,7738</v>
      </c>
      <c r="F61" s="23" t="s">
        <v>18</v>
      </c>
      <c r="G61" s="23" t="s">
        <v>19</v>
      </c>
      <c r="H61" s="24" t="s">
        <v>222</v>
      </c>
      <c r="I61" s="24" t="s">
        <v>100</v>
      </c>
      <c r="J61" s="25" t="s">
        <v>144</v>
      </c>
      <c r="K61" s="25"/>
      <c r="L61" s="23" t="str">
        <f>"120,0"</f>
        <v>120,0</v>
      </c>
      <c r="M61" s="24" t="str">
        <f>"92,8560"</f>
        <v>92,8560</v>
      </c>
      <c r="N61" s="23" t="s">
        <v>29</v>
      </c>
    </row>
    <row r="62" spans="1:14" ht="12.75">
      <c r="A62" s="23" t="s">
        <v>966</v>
      </c>
      <c r="B62" s="23" t="s">
        <v>1888</v>
      </c>
      <c r="C62" s="23" t="s">
        <v>967</v>
      </c>
      <c r="D62" s="23" t="s">
        <v>968</v>
      </c>
      <c r="E62" s="23" t="str">
        <f>"0,7823"</f>
        <v>0,7823</v>
      </c>
      <c r="F62" s="23" t="s">
        <v>18</v>
      </c>
      <c r="G62" s="23" t="s">
        <v>19</v>
      </c>
      <c r="H62" s="24" t="s">
        <v>91</v>
      </c>
      <c r="I62" s="25" t="s">
        <v>90</v>
      </c>
      <c r="J62" s="25" t="s">
        <v>90</v>
      </c>
      <c r="K62" s="25"/>
      <c r="L62" s="23" t="str">
        <f>"100,0"</f>
        <v>100,0</v>
      </c>
      <c r="M62" s="24" t="str">
        <f>"78,2300"</f>
        <v>78,2300</v>
      </c>
      <c r="N62" s="23" t="s">
        <v>969</v>
      </c>
    </row>
    <row r="63" spans="1:14" ht="12.75">
      <c r="A63" s="23" t="s">
        <v>970</v>
      </c>
      <c r="B63" s="23" t="s">
        <v>1887</v>
      </c>
      <c r="C63" s="23" t="s">
        <v>971</v>
      </c>
      <c r="D63" s="23" t="s">
        <v>673</v>
      </c>
      <c r="E63" s="23" t="str">
        <f>"0,7842"</f>
        <v>0,7842</v>
      </c>
      <c r="F63" s="23" t="s">
        <v>18</v>
      </c>
      <c r="G63" s="23" t="s">
        <v>19</v>
      </c>
      <c r="H63" s="24" t="s">
        <v>263</v>
      </c>
      <c r="I63" s="25" t="s">
        <v>91</v>
      </c>
      <c r="J63" s="25" t="s">
        <v>91</v>
      </c>
      <c r="K63" s="25"/>
      <c r="L63" s="23" t="str">
        <f>"92,5"</f>
        <v>92,5</v>
      </c>
      <c r="M63" s="24" t="str">
        <f>"72,5385"</f>
        <v>72,5385</v>
      </c>
      <c r="N63" s="23" t="s">
        <v>972</v>
      </c>
    </row>
    <row r="64" spans="1:14" ht="12.75">
      <c r="A64" s="12" t="s">
        <v>973</v>
      </c>
      <c r="B64" s="12" t="s">
        <v>1891</v>
      </c>
      <c r="C64" s="12" t="s">
        <v>974</v>
      </c>
      <c r="D64" s="12" t="s">
        <v>957</v>
      </c>
      <c r="E64" s="12" t="str">
        <f>"0,7747"</f>
        <v>0,7747</v>
      </c>
      <c r="F64" s="12" t="s">
        <v>18</v>
      </c>
      <c r="G64" s="12" t="s">
        <v>19</v>
      </c>
      <c r="H64" s="14" t="s">
        <v>258</v>
      </c>
      <c r="I64" s="13"/>
      <c r="J64" s="13"/>
      <c r="K64" s="13"/>
      <c r="L64" s="12" t="str">
        <f>"112,5"</f>
        <v>112,5</v>
      </c>
      <c r="M64" s="14" t="str">
        <f>"101,5341"</f>
        <v>101,5341</v>
      </c>
      <c r="N64" s="12" t="s">
        <v>975</v>
      </c>
    </row>
    <row r="66" spans="1:14" ht="15">
      <c r="A66" s="48" t="s">
        <v>128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ht="12.75">
      <c r="A67" s="9" t="s">
        <v>976</v>
      </c>
      <c r="B67" s="9" t="s">
        <v>1896</v>
      </c>
      <c r="C67" s="9" t="s">
        <v>977</v>
      </c>
      <c r="D67" s="9" t="s">
        <v>978</v>
      </c>
      <c r="E67" s="9" t="str">
        <f>"0,7278"</f>
        <v>0,7278</v>
      </c>
      <c r="F67" s="9" t="s">
        <v>34</v>
      </c>
      <c r="G67" s="9" t="s">
        <v>19</v>
      </c>
      <c r="H67" s="11" t="s">
        <v>224</v>
      </c>
      <c r="I67" s="10" t="s">
        <v>116</v>
      </c>
      <c r="J67" s="11" t="s">
        <v>116</v>
      </c>
      <c r="K67" s="10"/>
      <c r="L67" s="9" t="str">
        <f>"70,0"</f>
        <v>70,0</v>
      </c>
      <c r="M67" s="11" t="str">
        <f>"50,9460"</f>
        <v>50,9460</v>
      </c>
      <c r="N67" s="9" t="s">
        <v>979</v>
      </c>
    </row>
    <row r="68" spans="1:14" ht="12.75">
      <c r="A68" s="23" t="s">
        <v>980</v>
      </c>
      <c r="B68" s="23" t="s">
        <v>1891</v>
      </c>
      <c r="C68" s="23" t="s">
        <v>981</v>
      </c>
      <c r="D68" s="23" t="s">
        <v>982</v>
      </c>
      <c r="E68" s="23" t="str">
        <f>"0,7152"</f>
        <v>0,7152</v>
      </c>
      <c r="F68" s="23" t="s">
        <v>18</v>
      </c>
      <c r="G68" s="23" t="s">
        <v>19</v>
      </c>
      <c r="H68" s="24" t="s">
        <v>23</v>
      </c>
      <c r="I68" s="25" t="s">
        <v>305</v>
      </c>
      <c r="J68" s="25" t="s">
        <v>305</v>
      </c>
      <c r="K68" s="25"/>
      <c r="L68" s="23" t="str">
        <f>"145,0"</f>
        <v>145,0</v>
      </c>
      <c r="M68" s="24" t="str">
        <f>"103,7040"</f>
        <v>103,7040</v>
      </c>
      <c r="N68" s="23" t="s">
        <v>29</v>
      </c>
    </row>
    <row r="69" spans="1:14" ht="12.75">
      <c r="A69" s="23" t="s">
        <v>983</v>
      </c>
      <c r="B69" s="23" t="s">
        <v>1892</v>
      </c>
      <c r="C69" s="23" t="s">
        <v>984</v>
      </c>
      <c r="D69" s="23" t="s">
        <v>985</v>
      </c>
      <c r="E69" s="23" t="str">
        <f>"0,7249"</f>
        <v>0,7249</v>
      </c>
      <c r="F69" s="23" t="s">
        <v>18</v>
      </c>
      <c r="G69" s="23" t="s">
        <v>19</v>
      </c>
      <c r="H69" s="25" t="s">
        <v>101</v>
      </c>
      <c r="I69" s="25" t="s">
        <v>96</v>
      </c>
      <c r="J69" s="24" t="s">
        <v>96</v>
      </c>
      <c r="K69" s="25"/>
      <c r="L69" s="23" t="str">
        <f>"130,0"</f>
        <v>130,0</v>
      </c>
      <c r="M69" s="24" t="str">
        <f>"94,2370"</f>
        <v>94,2370</v>
      </c>
      <c r="N69" s="23"/>
    </row>
    <row r="70" spans="1:14" ht="12.75">
      <c r="A70" s="23" t="s">
        <v>986</v>
      </c>
      <c r="B70" s="23" t="s">
        <v>1888</v>
      </c>
      <c r="C70" s="23" t="s">
        <v>987</v>
      </c>
      <c r="D70" s="23" t="s">
        <v>988</v>
      </c>
      <c r="E70" s="23" t="str">
        <f>"0,7228"</f>
        <v>0,7228</v>
      </c>
      <c r="F70" s="23" t="s">
        <v>18</v>
      </c>
      <c r="G70" s="23" t="s">
        <v>19</v>
      </c>
      <c r="H70" s="24" t="s">
        <v>90</v>
      </c>
      <c r="I70" s="25" t="s">
        <v>100</v>
      </c>
      <c r="J70" s="25" t="s">
        <v>100</v>
      </c>
      <c r="K70" s="25"/>
      <c r="L70" s="23" t="str">
        <f>"110,0"</f>
        <v>110,0</v>
      </c>
      <c r="M70" s="24" t="str">
        <f>"79,5080"</f>
        <v>79,5080</v>
      </c>
      <c r="N70" s="23"/>
    </row>
    <row r="71" spans="1:14" ht="12.75">
      <c r="A71" s="23" t="s">
        <v>989</v>
      </c>
      <c r="B71" s="23" t="s">
        <v>1891</v>
      </c>
      <c r="C71" s="23" t="s">
        <v>990</v>
      </c>
      <c r="D71" s="23" t="s">
        <v>985</v>
      </c>
      <c r="E71" s="23" t="str">
        <f>"0,7249"</f>
        <v>0,7249</v>
      </c>
      <c r="F71" s="23" t="s">
        <v>18</v>
      </c>
      <c r="G71" s="23" t="s">
        <v>19</v>
      </c>
      <c r="H71" s="24" t="s">
        <v>188</v>
      </c>
      <c r="I71" s="25" t="s">
        <v>39</v>
      </c>
      <c r="J71" s="24" t="s">
        <v>39</v>
      </c>
      <c r="K71" s="25"/>
      <c r="L71" s="23" t="str">
        <f>"140,0"</f>
        <v>140,0</v>
      </c>
      <c r="M71" s="24" t="str">
        <f>"101,4860"</f>
        <v>101,4860</v>
      </c>
      <c r="N71" s="23" t="s">
        <v>29</v>
      </c>
    </row>
    <row r="72" spans="1:14" ht="12.75">
      <c r="A72" s="23" t="s">
        <v>991</v>
      </c>
      <c r="B72" s="23" t="s">
        <v>1891</v>
      </c>
      <c r="C72" s="23" t="s">
        <v>992</v>
      </c>
      <c r="D72" s="23" t="s">
        <v>993</v>
      </c>
      <c r="E72" s="23" t="str">
        <f>"0,7179"</f>
        <v>0,7179</v>
      </c>
      <c r="F72" s="26" t="s">
        <v>34</v>
      </c>
      <c r="G72" s="23" t="s">
        <v>994</v>
      </c>
      <c r="H72" s="25" t="s">
        <v>39</v>
      </c>
      <c r="I72" s="25" t="s">
        <v>39</v>
      </c>
      <c r="J72" s="24" t="s">
        <v>39</v>
      </c>
      <c r="K72" s="25"/>
      <c r="L72" s="23" t="str">
        <f>"140,0"</f>
        <v>140,0</v>
      </c>
      <c r="M72" s="24" t="str">
        <f>"100,5060"</f>
        <v>100,5060</v>
      </c>
      <c r="N72" s="23" t="s">
        <v>29</v>
      </c>
    </row>
    <row r="73" spans="1:14" ht="12.75">
      <c r="A73" s="23" t="s">
        <v>995</v>
      </c>
      <c r="B73" s="23" t="s">
        <v>1891</v>
      </c>
      <c r="C73" s="23" t="s">
        <v>996</v>
      </c>
      <c r="D73" s="23" t="s">
        <v>286</v>
      </c>
      <c r="E73" s="23" t="str">
        <f>"0,7159"</f>
        <v>0,7159</v>
      </c>
      <c r="F73" s="23" t="s">
        <v>34</v>
      </c>
      <c r="G73" s="23" t="s">
        <v>997</v>
      </c>
      <c r="H73" s="25" t="s">
        <v>188</v>
      </c>
      <c r="I73" s="25" t="s">
        <v>188</v>
      </c>
      <c r="J73" s="24" t="s">
        <v>188</v>
      </c>
      <c r="K73" s="25"/>
      <c r="L73" s="23" t="str">
        <f>"137,5"</f>
        <v>137,5</v>
      </c>
      <c r="M73" s="24" t="str">
        <f>"98,4363"</f>
        <v>98,4363</v>
      </c>
      <c r="N73" s="23" t="s">
        <v>29</v>
      </c>
    </row>
    <row r="74" spans="1:14" ht="12.75">
      <c r="A74" s="23" t="s">
        <v>998</v>
      </c>
      <c r="B74" s="23" t="s">
        <v>1892</v>
      </c>
      <c r="C74" s="23" t="s">
        <v>999</v>
      </c>
      <c r="D74" s="23" t="s">
        <v>1000</v>
      </c>
      <c r="E74" s="23" t="str">
        <f>"0,7330"</f>
        <v>0,7330</v>
      </c>
      <c r="F74" s="23" t="s">
        <v>18</v>
      </c>
      <c r="G74" s="23" t="s">
        <v>19</v>
      </c>
      <c r="H74" s="24" t="s">
        <v>109</v>
      </c>
      <c r="I74" s="24" t="s">
        <v>96</v>
      </c>
      <c r="J74" s="24" t="s">
        <v>123</v>
      </c>
      <c r="K74" s="25"/>
      <c r="L74" s="23" t="str">
        <f>"135,0"</f>
        <v>135,0</v>
      </c>
      <c r="M74" s="24" t="str">
        <f>"98,9550"</f>
        <v>98,9550</v>
      </c>
      <c r="N74" s="23" t="s">
        <v>1001</v>
      </c>
    </row>
    <row r="75" spans="1:14" ht="12.75">
      <c r="A75" s="23" t="s">
        <v>1002</v>
      </c>
      <c r="B75" s="23" t="s">
        <v>1892</v>
      </c>
      <c r="C75" s="23" t="s">
        <v>1003</v>
      </c>
      <c r="D75" s="23" t="s">
        <v>295</v>
      </c>
      <c r="E75" s="23" t="str">
        <f>"0,7126"</f>
        <v>0,7126</v>
      </c>
      <c r="F75" s="23" t="s">
        <v>18</v>
      </c>
      <c r="G75" s="23" t="s">
        <v>19</v>
      </c>
      <c r="H75" s="24" t="s">
        <v>254</v>
      </c>
      <c r="I75" s="24" t="s">
        <v>109</v>
      </c>
      <c r="J75" s="24" t="s">
        <v>96</v>
      </c>
      <c r="K75" s="25"/>
      <c r="L75" s="23" t="str">
        <f>"130,0"</f>
        <v>130,0</v>
      </c>
      <c r="M75" s="24" t="str">
        <f>"92,6380"</f>
        <v>92,6380</v>
      </c>
      <c r="N75" s="23" t="s">
        <v>1001</v>
      </c>
    </row>
    <row r="76" spans="1:14" ht="12.75">
      <c r="A76" s="23" t="s">
        <v>1004</v>
      </c>
      <c r="B76" s="23" t="s">
        <v>1892</v>
      </c>
      <c r="C76" s="23" t="s">
        <v>1005</v>
      </c>
      <c r="D76" s="23" t="s">
        <v>580</v>
      </c>
      <c r="E76" s="23" t="str">
        <f>"0,7307"</f>
        <v>0,7307</v>
      </c>
      <c r="F76" s="23" t="s">
        <v>308</v>
      </c>
      <c r="G76" s="23" t="s">
        <v>400</v>
      </c>
      <c r="H76" s="25" t="s">
        <v>109</v>
      </c>
      <c r="I76" s="24" t="s">
        <v>109</v>
      </c>
      <c r="J76" s="25" t="s">
        <v>188</v>
      </c>
      <c r="K76" s="25"/>
      <c r="L76" s="23" t="str">
        <f>"125,0"</f>
        <v>125,0</v>
      </c>
      <c r="M76" s="24" t="str">
        <f>"91,3375"</f>
        <v>91,3375</v>
      </c>
      <c r="N76" s="23"/>
    </row>
    <row r="77" spans="1:14" ht="12.75">
      <c r="A77" s="23" t="s">
        <v>1006</v>
      </c>
      <c r="B77" s="23" t="s">
        <v>1892</v>
      </c>
      <c r="C77" s="23" t="s">
        <v>1007</v>
      </c>
      <c r="D77" s="23" t="s">
        <v>1008</v>
      </c>
      <c r="E77" s="23" t="str">
        <f>"0,7256"</f>
        <v>0,7256</v>
      </c>
      <c r="F77" s="23" t="s">
        <v>18</v>
      </c>
      <c r="G77" s="23" t="s">
        <v>19</v>
      </c>
      <c r="H77" s="24" t="s">
        <v>100</v>
      </c>
      <c r="I77" s="25" t="s">
        <v>144</v>
      </c>
      <c r="J77" s="25" t="s">
        <v>144</v>
      </c>
      <c r="K77" s="25"/>
      <c r="L77" s="23" t="str">
        <f>"120,0"</f>
        <v>120,0</v>
      </c>
      <c r="M77" s="24" t="str">
        <f>"87,0720"</f>
        <v>87,0720</v>
      </c>
      <c r="N77" s="23"/>
    </row>
    <row r="78" spans="1:14" ht="12.75">
      <c r="A78" s="23" t="s">
        <v>1009</v>
      </c>
      <c r="B78" s="23" t="s">
        <v>1892</v>
      </c>
      <c r="C78" s="23" t="s">
        <v>1010</v>
      </c>
      <c r="D78" s="23" t="s">
        <v>721</v>
      </c>
      <c r="E78" s="23" t="str">
        <f>"0,7235"</f>
        <v>0,7235</v>
      </c>
      <c r="F78" s="23" t="s">
        <v>18</v>
      </c>
      <c r="G78" s="23" t="s">
        <v>19</v>
      </c>
      <c r="H78" s="24" t="s">
        <v>100</v>
      </c>
      <c r="I78" s="25" t="s">
        <v>188</v>
      </c>
      <c r="J78" s="25" t="s">
        <v>188</v>
      </c>
      <c r="K78" s="25"/>
      <c r="L78" s="23" t="str">
        <f>"120,0"</f>
        <v>120,0</v>
      </c>
      <c r="M78" s="24" t="str">
        <f>"86,8200"</f>
        <v>86,8200</v>
      </c>
      <c r="N78" s="23"/>
    </row>
    <row r="79" spans="1:14" ht="12.75">
      <c r="A79" s="23" t="s">
        <v>1011</v>
      </c>
      <c r="B79" s="23" t="s">
        <v>1888</v>
      </c>
      <c r="C79" s="23" t="s">
        <v>1012</v>
      </c>
      <c r="D79" s="23" t="s">
        <v>701</v>
      </c>
      <c r="E79" s="23" t="str">
        <f>"0,7214"</f>
        <v>0,7214</v>
      </c>
      <c r="F79" s="23" t="s">
        <v>18</v>
      </c>
      <c r="G79" s="23" t="s">
        <v>19</v>
      </c>
      <c r="H79" s="24" t="s">
        <v>221</v>
      </c>
      <c r="I79" s="25" t="s">
        <v>254</v>
      </c>
      <c r="J79" s="25"/>
      <c r="K79" s="25"/>
      <c r="L79" s="23" t="str">
        <f>"107,5"</f>
        <v>107,5</v>
      </c>
      <c r="M79" s="24" t="str">
        <f>"77,5505"</f>
        <v>77,5505</v>
      </c>
      <c r="N79" s="23" t="s">
        <v>1013</v>
      </c>
    </row>
    <row r="80" spans="1:14" ht="12.75">
      <c r="A80" s="23" t="s">
        <v>1014</v>
      </c>
      <c r="B80" s="23" t="s">
        <v>1888</v>
      </c>
      <c r="C80" s="23" t="s">
        <v>1015</v>
      </c>
      <c r="D80" s="23" t="s">
        <v>1016</v>
      </c>
      <c r="E80" s="23" t="str">
        <f>"0,7166"</f>
        <v>0,7166</v>
      </c>
      <c r="F80" s="23" t="s">
        <v>18</v>
      </c>
      <c r="G80" s="23" t="s">
        <v>19</v>
      </c>
      <c r="H80" s="25" t="s">
        <v>90</v>
      </c>
      <c r="I80" s="24" t="s">
        <v>90</v>
      </c>
      <c r="J80" s="25" t="s">
        <v>100</v>
      </c>
      <c r="K80" s="25"/>
      <c r="L80" s="23" t="str">
        <f>"110,0"</f>
        <v>110,0</v>
      </c>
      <c r="M80" s="24" t="str">
        <f>"78,8260"</f>
        <v>78,8260</v>
      </c>
      <c r="N80" s="23"/>
    </row>
    <row r="81" spans="1:14" ht="12.75">
      <c r="A81" s="12" t="s">
        <v>1017</v>
      </c>
      <c r="B81" s="12" t="s">
        <v>1891</v>
      </c>
      <c r="C81" s="12" t="s">
        <v>1018</v>
      </c>
      <c r="D81" s="12" t="s">
        <v>1019</v>
      </c>
      <c r="E81" s="12" t="str">
        <f>"0,7285"</f>
        <v>0,7285</v>
      </c>
      <c r="F81" s="12" t="s">
        <v>18</v>
      </c>
      <c r="G81" s="12" t="s">
        <v>19</v>
      </c>
      <c r="H81" s="14" t="s">
        <v>91</v>
      </c>
      <c r="I81" s="13" t="s">
        <v>221</v>
      </c>
      <c r="J81" s="14" t="s">
        <v>221</v>
      </c>
      <c r="K81" s="13"/>
      <c r="L81" s="12" t="str">
        <f>"107,5"</f>
        <v>107,5</v>
      </c>
      <c r="M81" s="14" t="str">
        <f>"123,4225"</f>
        <v>123,4225</v>
      </c>
      <c r="N81" s="12" t="s">
        <v>1020</v>
      </c>
    </row>
    <row r="83" spans="1:14" ht="15">
      <c r="A83" s="48" t="s">
        <v>13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</row>
    <row r="84" spans="1:14" ht="12.75">
      <c r="A84" s="9" t="s">
        <v>1021</v>
      </c>
      <c r="B84" s="9" t="s">
        <v>1892</v>
      </c>
      <c r="C84" s="9" t="s">
        <v>1022</v>
      </c>
      <c r="D84" s="9" t="s">
        <v>484</v>
      </c>
      <c r="E84" s="9" t="str">
        <f>"0,6724"</f>
        <v>0,6724</v>
      </c>
      <c r="F84" s="9" t="s">
        <v>18</v>
      </c>
      <c r="G84" s="9" t="s">
        <v>19</v>
      </c>
      <c r="H84" s="11" t="s">
        <v>288</v>
      </c>
      <c r="I84" s="10" t="s">
        <v>40</v>
      </c>
      <c r="J84" s="10" t="s">
        <v>40</v>
      </c>
      <c r="K84" s="10"/>
      <c r="L84" s="9" t="str">
        <f>"142,5"</f>
        <v>142,5</v>
      </c>
      <c r="M84" s="11" t="str">
        <f>"95,8170"</f>
        <v>95,8170</v>
      </c>
      <c r="N84" s="9" t="s">
        <v>1023</v>
      </c>
    </row>
    <row r="85" spans="1:14" ht="12.75">
      <c r="A85" s="23" t="s">
        <v>1024</v>
      </c>
      <c r="B85" s="23" t="s">
        <v>1892</v>
      </c>
      <c r="C85" s="23" t="s">
        <v>1025</v>
      </c>
      <c r="D85" s="23" t="s">
        <v>1026</v>
      </c>
      <c r="E85" s="23" t="str">
        <f>"0,6790"</f>
        <v>0,6790</v>
      </c>
      <c r="F85" s="23" t="s">
        <v>18</v>
      </c>
      <c r="G85" s="23" t="s">
        <v>19</v>
      </c>
      <c r="H85" s="24" t="s">
        <v>96</v>
      </c>
      <c r="I85" s="25" t="s">
        <v>39</v>
      </c>
      <c r="J85" s="25" t="s">
        <v>40</v>
      </c>
      <c r="K85" s="25"/>
      <c r="L85" s="23" t="str">
        <f>"130,0"</f>
        <v>130,0</v>
      </c>
      <c r="M85" s="24" t="str">
        <f>"88,2700"</f>
        <v>88,2700</v>
      </c>
      <c r="N85" s="23"/>
    </row>
    <row r="86" spans="1:14" ht="12.75">
      <c r="A86" s="23" t="s">
        <v>1027</v>
      </c>
      <c r="B86" s="23" t="s">
        <v>1892</v>
      </c>
      <c r="C86" s="23" t="s">
        <v>1028</v>
      </c>
      <c r="D86" s="23" t="s">
        <v>147</v>
      </c>
      <c r="E86" s="23" t="str">
        <f>"0,6739"</f>
        <v>0,6739</v>
      </c>
      <c r="F86" s="23" t="s">
        <v>18</v>
      </c>
      <c r="G86" s="23" t="s">
        <v>19</v>
      </c>
      <c r="H86" s="24" t="s">
        <v>96</v>
      </c>
      <c r="I86" s="25" t="s">
        <v>40</v>
      </c>
      <c r="J86" s="25" t="s">
        <v>40</v>
      </c>
      <c r="K86" s="25"/>
      <c r="L86" s="23" t="str">
        <f>"130,0"</f>
        <v>130,0</v>
      </c>
      <c r="M86" s="24" t="str">
        <f>"87,6070"</f>
        <v>87,6070</v>
      </c>
      <c r="N86" s="23"/>
    </row>
    <row r="87" spans="1:14" ht="12.75">
      <c r="A87" s="23" t="s">
        <v>1029</v>
      </c>
      <c r="B87" s="23" t="s">
        <v>1888</v>
      </c>
      <c r="C87" s="23" t="s">
        <v>1030</v>
      </c>
      <c r="D87" s="23" t="s">
        <v>1031</v>
      </c>
      <c r="E87" s="23" t="str">
        <f>"0,6779"</f>
        <v>0,6779</v>
      </c>
      <c r="F87" s="23" t="s">
        <v>18</v>
      </c>
      <c r="G87" s="23" t="s">
        <v>19</v>
      </c>
      <c r="H87" s="24" t="s">
        <v>109</v>
      </c>
      <c r="I87" s="25" t="s">
        <v>96</v>
      </c>
      <c r="J87" s="25" t="s">
        <v>96</v>
      </c>
      <c r="K87" s="25"/>
      <c r="L87" s="23" t="str">
        <f>"125,0"</f>
        <v>125,0</v>
      </c>
      <c r="M87" s="24" t="str">
        <f>"84,7375"</f>
        <v>84,7375</v>
      </c>
      <c r="N87" s="23" t="s">
        <v>1032</v>
      </c>
    </row>
    <row r="88" spans="1:14" ht="12.75">
      <c r="A88" s="23" t="s">
        <v>1033</v>
      </c>
      <c r="B88" s="23" t="s">
        <v>1890</v>
      </c>
      <c r="C88" s="23" t="s">
        <v>1034</v>
      </c>
      <c r="D88" s="23" t="s">
        <v>1035</v>
      </c>
      <c r="E88" s="23" t="str">
        <f>"0,6910"</f>
        <v>0,6910</v>
      </c>
      <c r="F88" s="23" t="s">
        <v>934</v>
      </c>
      <c r="G88" s="23" t="s">
        <v>1036</v>
      </c>
      <c r="H88" s="25" t="s">
        <v>23</v>
      </c>
      <c r="I88" s="25" t="s">
        <v>23</v>
      </c>
      <c r="J88" s="25" t="s">
        <v>40</v>
      </c>
      <c r="K88" s="25"/>
      <c r="L88" s="23" t="str">
        <f>"0,0"</f>
        <v>0,0</v>
      </c>
      <c r="M88" s="24" t="str">
        <f>"0,0000"</f>
        <v>0,0000</v>
      </c>
      <c r="N88" s="23" t="s">
        <v>1037</v>
      </c>
    </row>
    <row r="89" spans="1:14" ht="12.75">
      <c r="A89" s="23" t="s">
        <v>1038</v>
      </c>
      <c r="B89" s="23" t="s">
        <v>1890</v>
      </c>
      <c r="C89" s="23" t="s">
        <v>1039</v>
      </c>
      <c r="D89" s="23" t="s">
        <v>1040</v>
      </c>
      <c r="E89" s="23" t="str">
        <f>"0,6822"</f>
        <v>0,6822</v>
      </c>
      <c r="F89" s="23" t="s">
        <v>34</v>
      </c>
      <c r="G89" s="23" t="s">
        <v>167</v>
      </c>
      <c r="H89" s="25" t="s">
        <v>96</v>
      </c>
      <c r="I89" s="25" t="s">
        <v>96</v>
      </c>
      <c r="J89" s="25" t="s">
        <v>96</v>
      </c>
      <c r="K89" s="25"/>
      <c r="L89" s="23" t="str">
        <f>"0,0"</f>
        <v>0,0</v>
      </c>
      <c r="M89" s="24" t="str">
        <f>"0,0000"</f>
        <v>0,0000</v>
      </c>
      <c r="N89" s="23"/>
    </row>
    <row r="90" spans="1:14" ht="12.75">
      <c r="A90" s="23" t="s">
        <v>1041</v>
      </c>
      <c r="B90" s="23" t="s">
        <v>1891</v>
      </c>
      <c r="C90" s="23" t="s">
        <v>1042</v>
      </c>
      <c r="D90" s="23" t="s">
        <v>1043</v>
      </c>
      <c r="E90" s="23" t="str">
        <f>"0,6744"</f>
        <v>0,6744</v>
      </c>
      <c r="F90" s="26" t="s">
        <v>34</v>
      </c>
      <c r="G90" s="23" t="s">
        <v>521</v>
      </c>
      <c r="H90" s="25" t="s">
        <v>115</v>
      </c>
      <c r="I90" s="25" t="s">
        <v>50</v>
      </c>
      <c r="J90" s="24" t="s">
        <v>50</v>
      </c>
      <c r="K90" s="25"/>
      <c r="L90" s="23" t="str">
        <f>"162,5"</f>
        <v>162,5</v>
      </c>
      <c r="M90" s="24" t="str">
        <f>"109,5900"</f>
        <v>109,5900</v>
      </c>
      <c r="N90" s="23"/>
    </row>
    <row r="91" spans="1:14" ht="12.75">
      <c r="A91" s="23" t="s">
        <v>1044</v>
      </c>
      <c r="B91" s="23" t="s">
        <v>1891</v>
      </c>
      <c r="C91" s="23" t="s">
        <v>1045</v>
      </c>
      <c r="D91" s="23" t="s">
        <v>1046</v>
      </c>
      <c r="E91" s="23" t="str">
        <f>"0,6838"</f>
        <v>0,6838</v>
      </c>
      <c r="F91" s="23" t="s">
        <v>950</v>
      </c>
      <c r="G91" s="23" t="s">
        <v>1047</v>
      </c>
      <c r="H91" s="24" t="s">
        <v>123</v>
      </c>
      <c r="I91" s="24" t="s">
        <v>40</v>
      </c>
      <c r="J91" s="25" t="s">
        <v>41</v>
      </c>
      <c r="K91" s="25"/>
      <c r="L91" s="23" t="str">
        <f>"147,5"</f>
        <v>147,5</v>
      </c>
      <c r="M91" s="24" t="str">
        <f>"100,8605"</f>
        <v>100,8605</v>
      </c>
      <c r="N91" s="23"/>
    </row>
    <row r="92" spans="1:14" ht="12.75">
      <c r="A92" s="23" t="s">
        <v>1048</v>
      </c>
      <c r="B92" s="23" t="s">
        <v>1891</v>
      </c>
      <c r="C92" s="23" t="s">
        <v>1049</v>
      </c>
      <c r="D92" s="23" t="s">
        <v>602</v>
      </c>
      <c r="E92" s="23" t="str">
        <f>"0,6811"</f>
        <v>0,6811</v>
      </c>
      <c r="F92" s="23" t="s">
        <v>18</v>
      </c>
      <c r="G92" s="23" t="s">
        <v>19</v>
      </c>
      <c r="H92" s="24" t="s">
        <v>40</v>
      </c>
      <c r="I92" s="25" t="s">
        <v>24</v>
      </c>
      <c r="J92" s="25" t="s">
        <v>24</v>
      </c>
      <c r="K92" s="25"/>
      <c r="L92" s="23" t="str">
        <f>"147,5"</f>
        <v>147,5</v>
      </c>
      <c r="M92" s="24" t="str">
        <f>"100,4623"</f>
        <v>100,4623</v>
      </c>
      <c r="N92" s="23" t="s">
        <v>1050</v>
      </c>
    </row>
    <row r="93" spans="1:14" ht="12.75">
      <c r="A93" s="23" t="s">
        <v>1051</v>
      </c>
      <c r="B93" s="23" t="s">
        <v>1892</v>
      </c>
      <c r="C93" s="23" t="s">
        <v>1052</v>
      </c>
      <c r="D93" s="23" t="s">
        <v>138</v>
      </c>
      <c r="E93" s="23" t="str">
        <f>"0,7036"</f>
        <v>0,7036</v>
      </c>
      <c r="F93" s="23" t="s">
        <v>18</v>
      </c>
      <c r="G93" s="23" t="s">
        <v>19</v>
      </c>
      <c r="H93" s="24" t="s">
        <v>39</v>
      </c>
      <c r="I93" s="25" t="s">
        <v>40</v>
      </c>
      <c r="J93" s="25" t="s">
        <v>40</v>
      </c>
      <c r="K93" s="25"/>
      <c r="L93" s="23" t="str">
        <f>"140,0"</f>
        <v>140,0</v>
      </c>
      <c r="M93" s="24" t="str">
        <f>"98,5040"</f>
        <v>98,5040</v>
      </c>
      <c r="N93" s="23" t="s">
        <v>29</v>
      </c>
    </row>
    <row r="94" spans="1:14" ht="12.75">
      <c r="A94" s="23" t="s">
        <v>1053</v>
      </c>
      <c r="B94" s="23" t="s">
        <v>1892</v>
      </c>
      <c r="C94" s="23" t="s">
        <v>550</v>
      </c>
      <c r="D94" s="23" t="s">
        <v>1054</v>
      </c>
      <c r="E94" s="23" t="str">
        <f>"0,6832"</f>
        <v>0,6832</v>
      </c>
      <c r="F94" s="23" t="s">
        <v>34</v>
      </c>
      <c r="G94" s="23" t="s">
        <v>367</v>
      </c>
      <c r="H94" s="24" t="s">
        <v>39</v>
      </c>
      <c r="I94" s="25" t="s">
        <v>40</v>
      </c>
      <c r="J94" s="25" t="s">
        <v>40</v>
      </c>
      <c r="K94" s="25"/>
      <c r="L94" s="23" t="str">
        <f>"140,0"</f>
        <v>140,0</v>
      </c>
      <c r="M94" s="24" t="str">
        <f>"95,6480"</f>
        <v>95,6480</v>
      </c>
      <c r="N94" s="23" t="s">
        <v>1055</v>
      </c>
    </row>
    <row r="95" spans="1:14" ht="12.75">
      <c r="A95" s="23" t="s">
        <v>1056</v>
      </c>
      <c r="B95" s="23" t="s">
        <v>1892</v>
      </c>
      <c r="C95" s="23" t="s">
        <v>1057</v>
      </c>
      <c r="D95" s="23" t="s">
        <v>1046</v>
      </c>
      <c r="E95" s="23" t="str">
        <f>"0,6838"</f>
        <v>0,6838</v>
      </c>
      <c r="F95" s="23" t="s">
        <v>18</v>
      </c>
      <c r="G95" s="23" t="s">
        <v>19</v>
      </c>
      <c r="H95" s="24" t="s">
        <v>96</v>
      </c>
      <c r="I95" s="25" t="s">
        <v>123</v>
      </c>
      <c r="J95" s="24" t="s">
        <v>123</v>
      </c>
      <c r="K95" s="25"/>
      <c r="L95" s="23" t="str">
        <f>"135,0"</f>
        <v>135,0</v>
      </c>
      <c r="M95" s="24" t="str">
        <f>"92,3130"</f>
        <v>92,3130</v>
      </c>
      <c r="N95" s="23" t="s">
        <v>847</v>
      </c>
    </row>
    <row r="96" spans="1:14" ht="12.75">
      <c r="A96" s="23" t="s">
        <v>1058</v>
      </c>
      <c r="B96" s="23" t="s">
        <v>1892</v>
      </c>
      <c r="C96" s="23" t="s">
        <v>1059</v>
      </c>
      <c r="D96" s="23" t="s">
        <v>1060</v>
      </c>
      <c r="E96" s="23" t="str">
        <f>"0,6806"</f>
        <v>0,6806</v>
      </c>
      <c r="F96" s="23" t="s">
        <v>18</v>
      </c>
      <c r="G96" s="23" t="s">
        <v>19</v>
      </c>
      <c r="H96" s="24" t="s">
        <v>100</v>
      </c>
      <c r="I96" s="24" t="s">
        <v>96</v>
      </c>
      <c r="J96" s="25" t="s">
        <v>123</v>
      </c>
      <c r="K96" s="25"/>
      <c r="L96" s="23" t="str">
        <f>"130,0"</f>
        <v>130,0</v>
      </c>
      <c r="M96" s="24" t="str">
        <f>"88,4780"</f>
        <v>88,4780</v>
      </c>
      <c r="N96" s="23"/>
    </row>
    <row r="97" spans="1:14" ht="12.75">
      <c r="A97" s="23" t="s">
        <v>1061</v>
      </c>
      <c r="B97" s="23" t="s">
        <v>1892</v>
      </c>
      <c r="C97" s="23" t="s">
        <v>1062</v>
      </c>
      <c r="D97" s="23" t="s">
        <v>1043</v>
      </c>
      <c r="E97" s="23" t="str">
        <f>"0,6744"</f>
        <v>0,6744</v>
      </c>
      <c r="F97" s="23" t="s">
        <v>18</v>
      </c>
      <c r="G97" s="23" t="s">
        <v>19</v>
      </c>
      <c r="H97" s="24" t="s">
        <v>96</v>
      </c>
      <c r="I97" s="25" t="s">
        <v>188</v>
      </c>
      <c r="J97" s="25" t="s">
        <v>188</v>
      </c>
      <c r="K97" s="25"/>
      <c r="L97" s="23" t="str">
        <f>"130,0"</f>
        <v>130,0</v>
      </c>
      <c r="M97" s="24" t="str">
        <f>"87,6720"</f>
        <v>87,6720</v>
      </c>
      <c r="N97" s="23" t="s">
        <v>1063</v>
      </c>
    </row>
    <row r="98" spans="1:14" ht="12.75">
      <c r="A98" s="23" t="s">
        <v>1064</v>
      </c>
      <c r="B98" s="23" t="s">
        <v>1890</v>
      </c>
      <c r="C98" s="23" t="s">
        <v>1065</v>
      </c>
      <c r="D98" s="23" t="s">
        <v>1040</v>
      </c>
      <c r="E98" s="23" t="str">
        <f>"0,6822"</f>
        <v>0,6822</v>
      </c>
      <c r="F98" s="23" t="s">
        <v>18</v>
      </c>
      <c r="G98" s="23" t="s">
        <v>19</v>
      </c>
      <c r="H98" s="25" t="s">
        <v>222</v>
      </c>
      <c r="I98" s="25" t="s">
        <v>222</v>
      </c>
      <c r="J98" s="25" t="s">
        <v>222</v>
      </c>
      <c r="K98" s="25"/>
      <c r="L98" s="23" t="str">
        <f>"0,0"</f>
        <v>0,0</v>
      </c>
      <c r="M98" s="24" t="str">
        <f>"0,0000"</f>
        <v>0,0000</v>
      </c>
      <c r="N98" s="23" t="s">
        <v>29</v>
      </c>
    </row>
    <row r="99" spans="1:14" ht="12.75">
      <c r="A99" s="23" t="s">
        <v>1066</v>
      </c>
      <c r="B99" s="23" t="s">
        <v>1890</v>
      </c>
      <c r="C99" s="23" t="s">
        <v>1067</v>
      </c>
      <c r="D99" s="23" t="s">
        <v>1068</v>
      </c>
      <c r="E99" s="23" t="str">
        <f>"0,6704"</f>
        <v>0,6704</v>
      </c>
      <c r="F99" s="23" t="s">
        <v>18</v>
      </c>
      <c r="G99" s="23" t="s">
        <v>19</v>
      </c>
      <c r="H99" s="25" t="s">
        <v>114</v>
      </c>
      <c r="I99" s="25" t="s">
        <v>305</v>
      </c>
      <c r="J99" s="25" t="s">
        <v>115</v>
      </c>
      <c r="K99" s="25"/>
      <c r="L99" s="23" t="str">
        <f>"0,0"</f>
        <v>0,0</v>
      </c>
      <c r="M99" s="24" t="str">
        <f>"0,0000"</f>
        <v>0,0000</v>
      </c>
      <c r="N99" s="23"/>
    </row>
    <row r="100" spans="1:14" ht="12.75">
      <c r="A100" s="23" t="s">
        <v>1069</v>
      </c>
      <c r="B100" s="23" t="s">
        <v>1892</v>
      </c>
      <c r="C100" s="23" t="s">
        <v>1070</v>
      </c>
      <c r="D100" s="23" t="s">
        <v>1071</v>
      </c>
      <c r="E100" s="23" t="str">
        <f>"0,6759"</f>
        <v>0,6759</v>
      </c>
      <c r="F100" s="23" t="s">
        <v>18</v>
      </c>
      <c r="G100" s="23" t="s">
        <v>19</v>
      </c>
      <c r="H100" s="24" t="s">
        <v>123</v>
      </c>
      <c r="I100" s="25" t="s">
        <v>288</v>
      </c>
      <c r="J100" s="25" t="s">
        <v>288</v>
      </c>
      <c r="K100" s="25"/>
      <c r="L100" s="23" t="str">
        <f>"135,0"</f>
        <v>135,0</v>
      </c>
      <c r="M100" s="24" t="str">
        <f>"94,0751"</f>
        <v>94,0751</v>
      </c>
      <c r="N100" s="23" t="s">
        <v>969</v>
      </c>
    </row>
    <row r="101" spans="1:14" ht="12.75">
      <c r="A101" s="23" t="s">
        <v>1072</v>
      </c>
      <c r="B101" s="23" t="s">
        <v>1892</v>
      </c>
      <c r="C101" s="23" t="s">
        <v>604</v>
      </c>
      <c r="D101" s="23" t="s">
        <v>605</v>
      </c>
      <c r="E101" s="23" t="str">
        <f>"0,6709"</f>
        <v>0,6709</v>
      </c>
      <c r="F101" s="23" t="s">
        <v>18</v>
      </c>
      <c r="G101" s="23" t="s">
        <v>19</v>
      </c>
      <c r="H101" s="24" t="s">
        <v>222</v>
      </c>
      <c r="I101" s="24" t="s">
        <v>100</v>
      </c>
      <c r="J101" s="24" t="s">
        <v>109</v>
      </c>
      <c r="K101" s="25"/>
      <c r="L101" s="23" t="str">
        <f>"125,0"</f>
        <v>125,0</v>
      </c>
      <c r="M101" s="24" t="str">
        <f>"83,8625"</f>
        <v>83,8625</v>
      </c>
      <c r="N101" s="23"/>
    </row>
    <row r="102" spans="1:14" ht="12.75">
      <c r="A102" s="23" t="s">
        <v>1073</v>
      </c>
      <c r="B102" s="23" t="s">
        <v>1890</v>
      </c>
      <c r="C102" s="23" t="s">
        <v>1074</v>
      </c>
      <c r="D102" s="23" t="s">
        <v>1026</v>
      </c>
      <c r="E102" s="23" t="str">
        <f>"0,6790"</f>
        <v>0,6790</v>
      </c>
      <c r="F102" s="23" t="s">
        <v>18</v>
      </c>
      <c r="G102" s="23" t="s">
        <v>18</v>
      </c>
      <c r="H102" s="25" t="s">
        <v>114</v>
      </c>
      <c r="I102" s="25" t="s">
        <v>114</v>
      </c>
      <c r="J102" s="25" t="s">
        <v>114</v>
      </c>
      <c r="K102" s="25"/>
      <c r="L102" s="23" t="str">
        <f>"0,0"</f>
        <v>0,0</v>
      </c>
      <c r="M102" s="24" t="str">
        <f>"0,0000"</f>
        <v>0,0000</v>
      </c>
      <c r="N102" s="23" t="s">
        <v>1075</v>
      </c>
    </row>
    <row r="103" spans="1:14" ht="12.75">
      <c r="A103" s="23" t="s">
        <v>1076</v>
      </c>
      <c r="B103" s="23" t="s">
        <v>1891</v>
      </c>
      <c r="C103" s="23" t="s">
        <v>1077</v>
      </c>
      <c r="D103" s="23" t="s">
        <v>1071</v>
      </c>
      <c r="E103" s="23" t="str">
        <f>"0,6759"</f>
        <v>0,6759</v>
      </c>
      <c r="F103" s="23" t="s">
        <v>18</v>
      </c>
      <c r="G103" s="23" t="s">
        <v>19</v>
      </c>
      <c r="H103" s="24" t="s">
        <v>144</v>
      </c>
      <c r="I103" s="24" t="s">
        <v>101</v>
      </c>
      <c r="J103" s="24" t="s">
        <v>96</v>
      </c>
      <c r="K103" s="25"/>
      <c r="L103" s="23" t="str">
        <f>"130,0"</f>
        <v>130,0</v>
      </c>
      <c r="M103" s="24" t="str">
        <f>"104,0345"</f>
        <v>104,0345</v>
      </c>
      <c r="N103" s="23" t="s">
        <v>926</v>
      </c>
    </row>
    <row r="104" spans="1:14" ht="12.75">
      <c r="A104" s="12" t="s">
        <v>1078</v>
      </c>
      <c r="B104" s="12" t="s">
        <v>1887</v>
      </c>
      <c r="C104" s="12" t="s">
        <v>1079</v>
      </c>
      <c r="D104" s="12" t="s">
        <v>1080</v>
      </c>
      <c r="E104" s="12" t="str">
        <f>"0,6916"</f>
        <v>0,6916</v>
      </c>
      <c r="F104" s="12" t="s">
        <v>34</v>
      </c>
      <c r="G104" s="12" t="s">
        <v>421</v>
      </c>
      <c r="H104" s="14" t="s">
        <v>91</v>
      </c>
      <c r="I104" s="13" t="s">
        <v>90</v>
      </c>
      <c r="J104" s="13" t="s">
        <v>90</v>
      </c>
      <c r="K104" s="13"/>
      <c r="L104" s="12" t="str">
        <f>"100,0"</f>
        <v>100,0</v>
      </c>
      <c r="M104" s="14" t="str">
        <f>"83,2686"</f>
        <v>83,2686</v>
      </c>
      <c r="N104" s="12"/>
    </row>
    <row r="106" spans="1:14" ht="15">
      <c r="A106" s="48" t="s">
        <v>155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ht="12.75">
      <c r="A107" s="9" t="s">
        <v>1081</v>
      </c>
      <c r="B107" s="9" t="s">
        <v>1888</v>
      </c>
      <c r="C107" s="9" t="s">
        <v>1082</v>
      </c>
      <c r="D107" s="9" t="s">
        <v>315</v>
      </c>
      <c r="E107" s="9" t="str">
        <f>"0,6436"</f>
        <v>0,6436</v>
      </c>
      <c r="F107" s="9" t="s">
        <v>18</v>
      </c>
      <c r="G107" s="9" t="s">
        <v>19</v>
      </c>
      <c r="H107" s="11" t="s">
        <v>109</v>
      </c>
      <c r="I107" s="11" t="s">
        <v>96</v>
      </c>
      <c r="J107" s="10" t="s">
        <v>123</v>
      </c>
      <c r="K107" s="10"/>
      <c r="L107" s="9" t="str">
        <f>"130,0"</f>
        <v>130,0</v>
      </c>
      <c r="M107" s="11" t="str">
        <f>"83,6680"</f>
        <v>83,6680</v>
      </c>
      <c r="N107" s="9"/>
    </row>
    <row r="108" spans="1:14" ht="12.75">
      <c r="A108" s="23" t="s">
        <v>1084</v>
      </c>
      <c r="B108" s="23" t="s">
        <v>1895</v>
      </c>
      <c r="C108" s="23" t="s">
        <v>1085</v>
      </c>
      <c r="D108" s="23" t="s">
        <v>171</v>
      </c>
      <c r="E108" s="23" t="str">
        <f>"0,6410"</f>
        <v>0,6410</v>
      </c>
      <c r="F108" s="23" t="s">
        <v>18</v>
      </c>
      <c r="G108" s="23" t="s">
        <v>19</v>
      </c>
      <c r="H108" s="24" t="s">
        <v>61</v>
      </c>
      <c r="I108" s="25" t="s">
        <v>152</v>
      </c>
      <c r="J108" s="25" t="s">
        <v>152</v>
      </c>
      <c r="K108" s="25"/>
      <c r="L108" s="23" t="str">
        <f>"180,0"</f>
        <v>180,0</v>
      </c>
      <c r="M108" s="24" t="str">
        <f>"115,3800"</f>
        <v>115,3800</v>
      </c>
      <c r="N108" s="23" t="s">
        <v>1086</v>
      </c>
    </row>
    <row r="109" spans="1:14" ht="12.75">
      <c r="A109" s="23" t="s">
        <v>1087</v>
      </c>
      <c r="B109" s="23" t="s">
        <v>1891</v>
      </c>
      <c r="C109" s="23" t="s">
        <v>1088</v>
      </c>
      <c r="D109" s="23" t="s">
        <v>617</v>
      </c>
      <c r="E109" s="23" t="str">
        <f>"0,6487"</f>
        <v>0,6487</v>
      </c>
      <c r="F109" s="23" t="s">
        <v>34</v>
      </c>
      <c r="G109" s="23" t="s">
        <v>167</v>
      </c>
      <c r="H109" s="24" t="s">
        <v>123</v>
      </c>
      <c r="I109" s="24" t="s">
        <v>23</v>
      </c>
      <c r="J109" s="24" t="s">
        <v>24</v>
      </c>
      <c r="K109" s="25"/>
      <c r="L109" s="23" t="str">
        <f>"155,0"</f>
        <v>155,0</v>
      </c>
      <c r="M109" s="24" t="str">
        <f>"100,5485"</f>
        <v>100,5485</v>
      </c>
      <c r="N109" s="23"/>
    </row>
    <row r="110" spans="1:14" ht="12.75">
      <c r="A110" s="23" t="s">
        <v>1089</v>
      </c>
      <c r="B110" s="23" t="s">
        <v>1892</v>
      </c>
      <c r="C110" s="23" t="s">
        <v>1090</v>
      </c>
      <c r="D110" s="23" t="s">
        <v>1091</v>
      </c>
      <c r="E110" s="23" t="str">
        <f>"0,6444"</f>
        <v>0,6444</v>
      </c>
      <c r="F110" s="23" t="s">
        <v>18</v>
      </c>
      <c r="G110" s="23" t="s">
        <v>19</v>
      </c>
      <c r="H110" s="24" t="s">
        <v>123</v>
      </c>
      <c r="I110" s="24" t="s">
        <v>39</v>
      </c>
      <c r="J110" s="24" t="s">
        <v>288</v>
      </c>
      <c r="K110" s="25"/>
      <c r="L110" s="23" t="str">
        <f>"142,5"</f>
        <v>142,5</v>
      </c>
      <c r="M110" s="24" t="str">
        <f>"91,8270"</f>
        <v>91,8270</v>
      </c>
      <c r="N110" s="23" t="s">
        <v>1092</v>
      </c>
    </row>
    <row r="111" spans="1:14" ht="12.75">
      <c r="A111" s="23" t="s">
        <v>1093</v>
      </c>
      <c r="B111" s="23" t="s">
        <v>1890</v>
      </c>
      <c r="C111" s="23" t="s">
        <v>1094</v>
      </c>
      <c r="D111" s="23" t="s">
        <v>1091</v>
      </c>
      <c r="E111" s="23" t="str">
        <f>"0,6444"</f>
        <v>0,6444</v>
      </c>
      <c r="F111" s="23" t="s">
        <v>18</v>
      </c>
      <c r="G111" s="23" t="s">
        <v>19</v>
      </c>
      <c r="H111" s="25" t="s">
        <v>188</v>
      </c>
      <c r="I111" s="25" t="s">
        <v>39</v>
      </c>
      <c r="J111" s="25" t="s">
        <v>39</v>
      </c>
      <c r="K111" s="25"/>
      <c r="L111" s="23" t="str">
        <f>"0,0"</f>
        <v>0,0</v>
      </c>
      <c r="M111" s="24" t="str">
        <f>"0,0000"</f>
        <v>0,0000</v>
      </c>
      <c r="N111" s="23" t="s">
        <v>29</v>
      </c>
    </row>
    <row r="112" spans="1:14" ht="12.75">
      <c r="A112" s="23" t="s">
        <v>1095</v>
      </c>
      <c r="B112" s="23" t="s">
        <v>1890</v>
      </c>
      <c r="C112" s="23" t="s">
        <v>1096</v>
      </c>
      <c r="D112" s="23" t="s">
        <v>248</v>
      </c>
      <c r="E112" s="23" t="str">
        <f>"0,6424"</f>
        <v>0,6424</v>
      </c>
      <c r="F112" s="23" t="s">
        <v>18</v>
      </c>
      <c r="G112" s="23" t="s">
        <v>19</v>
      </c>
      <c r="H112" s="25" t="s">
        <v>114</v>
      </c>
      <c r="I112" s="25"/>
      <c r="J112" s="25"/>
      <c r="K112" s="25"/>
      <c r="L112" s="23" t="str">
        <f>"0,0"</f>
        <v>0,0</v>
      </c>
      <c r="M112" s="24" t="str">
        <f>"0,0000"</f>
        <v>0,0000</v>
      </c>
      <c r="N112" s="23" t="s">
        <v>29</v>
      </c>
    </row>
    <row r="113" spans="1:14" ht="12.75">
      <c r="A113" s="23" t="s">
        <v>1097</v>
      </c>
      <c r="B113" s="23" t="s">
        <v>1895</v>
      </c>
      <c r="C113" s="23" t="s">
        <v>1098</v>
      </c>
      <c r="D113" s="23" t="s">
        <v>1099</v>
      </c>
      <c r="E113" s="23" t="str">
        <f>"0,6384"</f>
        <v>0,6384</v>
      </c>
      <c r="F113" s="23" t="s">
        <v>34</v>
      </c>
      <c r="G113" s="23" t="s">
        <v>367</v>
      </c>
      <c r="H113" s="24" t="s">
        <v>118</v>
      </c>
      <c r="I113" s="24" t="s">
        <v>198</v>
      </c>
      <c r="J113" s="25" t="s">
        <v>61</v>
      </c>
      <c r="K113" s="25"/>
      <c r="L113" s="23" t="str">
        <f>"177,5"</f>
        <v>177,5</v>
      </c>
      <c r="M113" s="24" t="str">
        <f>"113,3160"</f>
        <v>113,3160</v>
      </c>
      <c r="N113" s="23" t="s">
        <v>29</v>
      </c>
    </row>
    <row r="114" spans="1:14" ht="12.75">
      <c r="A114" s="23" t="s">
        <v>1100</v>
      </c>
      <c r="B114" s="23" t="s">
        <v>1891</v>
      </c>
      <c r="C114" s="23" t="s">
        <v>1101</v>
      </c>
      <c r="D114" s="23" t="s">
        <v>1102</v>
      </c>
      <c r="E114" s="23" t="str">
        <f>"0,6528"</f>
        <v>0,6528</v>
      </c>
      <c r="F114" s="23" t="s">
        <v>18</v>
      </c>
      <c r="G114" s="23" t="s">
        <v>19</v>
      </c>
      <c r="H114" s="24" t="s">
        <v>25</v>
      </c>
      <c r="I114" s="24" t="s">
        <v>197</v>
      </c>
      <c r="J114" s="24" t="s">
        <v>151</v>
      </c>
      <c r="K114" s="25"/>
      <c r="L114" s="23" t="str">
        <f>"175,0"</f>
        <v>175,0</v>
      </c>
      <c r="M114" s="24" t="str">
        <f>"114,2400"</f>
        <v>114,2400</v>
      </c>
      <c r="N114" s="23" t="s">
        <v>29</v>
      </c>
    </row>
    <row r="115" spans="1:14" ht="12.75">
      <c r="A115" s="23" t="s">
        <v>1103</v>
      </c>
      <c r="B115" s="23" t="s">
        <v>1895</v>
      </c>
      <c r="C115" s="23" t="s">
        <v>1104</v>
      </c>
      <c r="D115" s="23" t="s">
        <v>734</v>
      </c>
      <c r="E115" s="23" t="str">
        <f>"0,6440"</f>
        <v>0,6440</v>
      </c>
      <c r="F115" s="23" t="s">
        <v>18</v>
      </c>
      <c r="G115" s="23" t="s">
        <v>19</v>
      </c>
      <c r="H115" s="24" t="s">
        <v>118</v>
      </c>
      <c r="I115" s="24" t="s">
        <v>151</v>
      </c>
      <c r="J115" s="25" t="s">
        <v>198</v>
      </c>
      <c r="K115" s="25"/>
      <c r="L115" s="23" t="str">
        <f>"175,0"</f>
        <v>175,0</v>
      </c>
      <c r="M115" s="24" t="str">
        <f>"112,7000"</f>
        <v>112,7000</v>
      </c>
      <c r="N115" s="23" t="s">
        <v>29</v>
      </c>
    </row>
    <row r="116" spans="1:14" ht="12.75">
      <c r="A116" s="23" t="s">
        <v>1105</v>
      </c>
      <c r="B116" s="23" t="s">
        <v>1891</v>
      </c>
      <c r="C116" s="23" t="s">
        <v>1106</v>
      </c>
      <c r="D116" s="23" t="s">
        <v>741</v>
      </c>
      <c r="E116" s="23" t="str">
        <f>"0,6428"</f>
        <v>0,6428</v>
      </c>
      <c r="F116" s="23" t="s">
        <v>1107</v>
      </c>
      <c r="G116" s="23" t="s">
        <v>1108</v>
      </c>
      <c r="H116" s="24" t="s">
        <v>24</v>
      </c>
      <c r="I116" s="24" t="s">
        <v>50</v>
      </c>
      <c r="J116" s="25" t="s">
        <v>151</v>
      </c>
      <c r="K116" s="25"/>
      <c r="L116" s="23" t="str">
        <f>"162,5"</f>
        <v>162,5</v>
      </c>
      <c r="M116" s="24" t="str">
        <f>"104,4550"</f>
        <v>104,4550</v>
      </c>
      <c r="N116" s="23"/>
    </row>
    <row r="117" spans="1:14" ht="12.75">
      <c r="A117" s="23" t="s">
        <v>1109</v>
      </c>
      <c r="B117" s="23" t="s">
        <v>1891</v>
      </c>
      <c r="C117" s="23" t="s">
        <v>1110</v>
      </c>
      <c r="D117" s="23" t="s">
        <v>248</v>
      </c>
      <c r="E117" s="23" t="str">
        <f>"0,6424"</f>
        <v>0,6424</v>
      </c>
      <c r="F117" s="23" t="s">
        <v>18</v>
      </c>
      <c r="G117" s="23" t="s">
        <v>19</v>
      </c>
      <c r="H117" s="25" t="s">
        <v>115</v>
      </c>
      <c r="I117" s="25" t="s">
        <v>115</v>
      </c>
      <c r="J117" s="24" t="s">
        <v>50</v>
      </c>
      <c r="K117" s="25"/>
      <c r="L117" s="23" t="str">
        <f>"162,5"</f>
        <v>162,5</v>
      </c>
      <c r="M117" s="24" t="str">
        <f>"104,3900"</f>
        <v>104,3900</v>
      </c>
      <c r="N117" s="23" t="s">
        <v>29</v>
      </c>
    </row>
    <row r="118" spans="1:14" ht="12.75">
      <c r="A118" s="23" t="s">
        <v>1112</v>
      </c>
      <c r="B118" s="23" t="s">
        <v>1891</v>
      </c>
      <c r="C118" s="23" t="s">
        <v>1113</v>
      </c>
      <c r="D118" s="23" t="s">
        <v>1114</v>
      </c>
      <c r="E118" s="23" t="str">
        <f>"0,6406"</f>
        <v>0,6406</v>
      </c>
      <c r="F118" s="23" t="s">
        <v>18</v>
      </c>
      <c r="G118" s="23" t="s">
        <v>19</v>
      </c>
      <c r="H118" s="24" t="s">
        <v>50</v>
      </c>
      <c r="I118" s="25" t="s">
        <v>118</v>
      </c>
      <c r="J118" s="25" t="s">
        <v>118</v>
      </c>
      <c r="K118" s="25"/>
      <c r="L118" s="23" t="str">
        <f>"162,5"</f>
        <v>162,5</v>
      </c>
      <c r="M118" s="24" t="str">
        <f>"104,0975"</f>
        <v>104,0975</v>
      </c>
      <c r="N118" s="23" t="s">
        <v>29</v>
      </c>
    </row>
    <row r="119" spans="1:14" ht="12.75">
      <c r="A119" s="23" t="s">
        <v>1115</v>
      </c>
      <c r="B119" s="23" t="s">
        <v>1891</v>
      </c>
      <c r="C119" s="23" t="s">
        <v>1116</v>
      </c>
      <c r="D119" s="23" t="s">
        <v>614</v>
      </c>
      <c r="E119" s="23" t="str">
        <f>"0,6536"</f>
        <v>0,6536</v>
      </c>
      <c r="F119" s="23" t="s">
        <v>18</v>
      </c>
      <c r="G119" s="23" t="s">
        <v>19</v>
      </c>
      <c r="H119" s="24" t="s">
        <v>24</v>
      </c>
      <c r="I119" s="25" t="s">
        <v>25</v>
      </c>
      <c r="J119" s="25" t="s">
        <v>25</v>
      </c>
      <c r="K119" s="25"/>
      <c r="L119" s="23" t="str">
        <f>"155,0"</f>
        <v>155,0</v>
      </c>
      <c r="M119" s="24" t="str">
        <f>"101,3080"</f>
        <v>101,3080</v>
      </c>
      <c r="N119" s="23" t="s">
        <v>29</v>
      </c>
    </row>
    <row r="120" spans="1:14" ht="12.75">
      <c r="A120" s="23" t="s">
        <v>1117</v>
      </c>
      <c r="B120" s="23" t="s">
        <v>1891</v>
      </c>
      <c r="C120" s="23" t="s">
        <v>1118</v>
      </c>
      <c r="D120" s="23" t="s">
        <v>248</v>
      </c>
      <c r="E120" s="23" t="str">
        <f>"0,6424"</f>
        <v>0,6424</v>
      </c>
      <c r="F120" s="23" t="s">
        <v>18</v>
      </c>
      <c r="G120" s="23" t="s">
        <v>19</v>
      </c>
      <c r="H120" s="25" t="s">
        <v>114</v>
      </c>
      <c r="I120" s="24" t="s">
        <v>24</v>
      </c>
      <c r="J120" s="25" t="s">
        <v>115</v>
      </c>
      <c r="K120" s="25"/>
      <c r="L120" s="23" t="str">
        <f>"155,0"</f>
        <v>155,0</v>
      </c>
      <c r="M120" s="24" t="str">
        <f>"99,5720"</f>
        <v>99,5720</v>
      </c>
      <c r="N120" s="23" t="s">
        <v>29</v>
      </c>
    </row>
    <row r="121" spans="1:14" ht="12.75">
      <c r="A121" s="23" t="s">
        <v>1119</v>
      </c>
      <c r="B121" s="23" t="s">
        <v>1891</v>
      </c>
      <c r="C121" s="23" t="s">
        <v>1120</v>
      </c>
      <c r="D121" s="23" t="s">
        <v>1099</v>
      </c>
      <c r="E121" s="23" t="str">
        <f>"0,6384"</f>
        <v>0,6384</v>
      </c>
      <c r="F121" s="23" t="s">
        <v>18</v>
      </c>
      <c r="G121" s="23" t="s">
        <v>19</v>
      </c>
      <c r="H121" s="24" t="s">
        <v>40</v>
      </c>
      <c r="I121" s="24" t="s">
        <v>24</v>
      </c>
      <c r="J121" s="25" t="s">
        <v>115</v>
      </c>
      <c r="K121" s="25"/>
      <c r="L121" s="23" t="str">
        <f>"155,0"</f>
        <v>155,0</v>
      </c>
      <c r="M121" s="24" t="str">
        <f>"98,9520"</f>
        <v>98,9520</v>
      </c>
      <c r="N121" s="23" t="s">
        <v>1001</v>
      </c>
    </row>
    <row r="122" spans="1:14" ht="12.75">
      <c r="A122" s="23" t="s">
        <v>1121</v>
      </c>
      <c r="B122" s="23" t="s">
        <v>1892</v>
      </c>
      <c r="C122" s="23" t="s">
        <v>1122</v>
      </c>
      <c r="D122" s="23" t="s">
        <v>1123</v>
      </c>
      <c r="E122" s="23" t="str">
        <f>"0,6610"</f>
        <v>0,6610</v>
      </c>
      <c r="F122" s="23" t="s">
        <v>950</v>
      </c>
      <c r="G122" s="23" t="s">
        <v>951</v>
      </c>
      <c r="H122" s="24" t="s">
        <v>123</v>
      </c>
      <c r="I122" s="24" t="s">
        <v>188</v>
      </c>
      <c r="J122" s="24" t="s">
        <v>39</v>
      </c>
      <c r="K122" s="25"/>
      <c r="L122" s="23" t="str">
        <f>"140,0"</f>
        <v>140,0</v>
      </c>
      <c r="M122" s="24" t="str">
        <f>"92,5400"</f>
        <v>92,5400</v>
      </c>
      <c r="N122" s="23" t="s">
        <v>29</v>
      </c>
    </row>
    <row r="123" spans="1:14" ht="12.75">
      <c r="A123" s="23" t="s">
        <v>1124</v>
      </c>
      <c r="B123" s="23" t="s">
        <v>1892</v>
      </c>
      <c r="C123" s="23" t="s">
        <v>1125</v>
      </c>
      <c r="D123" s="23" t="s">
        <v>320</v>
      </c>
      <c r="E123" s="23" t="str">
        <f>"0,6451"</f>
        <v>0,6451</v>
      </c>
      <c r="F123" s="23" t="s">
        <v>18</v>
      </c>
      <c r="G123" s="23" t="s">
        <v>19</v>
      </c>
      <c r="H123" s="24" t="s">
        <v>126</v>
      </c>
      <c r="I123" s="24" t="s">
        <v>39</v>
      </c>
      <c r="J123" s="25" t="s">
        <v>23</v>
      </c>
      <c r="K123" s="25"/>
      <c r="L123" s="23" t="str">
        <f>"140,0"</f>
        <v>140,0</v>
      </c>
      <c r="M123" s="24" t="str">
        <f>"90,3140"</f>
        <v>90,3140</v>
      </c>
      <c r="N123" s="23" t="s">
        <v>1001</v>
      </c>
    </row>
    <row r="124" spans="1:14" ht="12.75">
      <c r="A124" s="23" t="s">
        <v>1126</v>
      </c>
      <c r="B124" s="23" t="s">
        <v>1892</v>
      </c>
      <c r="C124" s="23" t="s">
        <v>1127</v>
      </c>
      <c r="D124" s="23" t="s">
        <v>498</v>
      </c>
      <c r="E124" s="23" t="str">
        <f>"0,6479"</f>
        <v>0,6479</v>
      </c>
      <c r="F124" s="23" t="s">
        <v>18</v>
      </c>
      <c r="G124" s="23" t="s">
        <v>19</v>
      </c>
      <c r="H124" s="25" t="s">
        <v>123</v>
      </c>
      <c r="I124" s="24" t="s">
        <v>123</v>
      </c>
      <c r="J124" s="25" t="s">
        <v>39</v>
      </c>
      <c r="K124" s="25"/>
      <c r="L124" s="23" t="str">
        <f>"135,0"</f>
        <v>135,0</v>
      </c>
      <c r="M124" s="24" t="str">
        <f>"87,4665"</f>
        <v>87,4665</v>
      </c>
      <c r="N124" s="23" t="s">
        <v>1032</v>
      </c>
    </row>
    <row r="125" spans="1:14" ht="12.75">
      <c r="A125" s="23" t="s">
        <v>1128</v>
      </c>
      <c r="B125" s="23" t="s">
        <v>1888</v>
      </c>
      <c r="C125" s="23" t="s">
        <v>1129</v>
      </c>
      <c r="D125" s="23" t="s">
        <v>158</v>
      </c>
      <c r="E125" s="23" t="str">
        <f>"0,6417"</f>
        <v>0,6417</v>
      </c>
      <c r="F125" s="23" t="s">
        <v>18</v>
      </c>
      <c r="G125" s="23" t="s">
        <v>19</v>
      </c>
      <c r="H125" s="24" t="s">
        <v>109</v>
      </c>
      <c r="I125" s="25" t="s">
        <v>123</v>
      </c>
      <c r="J125" s="25" t="s">
        <v>123</v>
      </c>
      <c r="K125" s="25"/>
      <c r="L125" s="23" t="str">
        <f>"125,0"</f>
        <v>125,0</v>
      </c>
      <c r="M125" s="24" t="str">
        <f>"80,2125"</f>
        <v>80,2125</v>
      </c>
      <c r="N125" s="23" t="s">
        <v>1130</v>
      </c>
    </row>
    <row r="126" spans="1:14" ht="12.75">
      <c r="A126" s="23" t="s">
        <v>1131</v>
      </c>
      <c r="B126" s="23" t="s">
        <v>1887</v>
      </c>
      <c r="C126" s="23" t="s">
        <v>1132</v>
      </c>
      <c r="D126" s="23" t="s">
        <v>1133</v>
      </c>
      <c r="E126" s="23" t="str">
        <f>"0,6507"</f>
        <v>0,6507</v>
      </c>
      <c r="F126" s="26" t="s">
        <v>34</v>
      </c>
      <c r="G126" s="23" t="s">
        <v>1134</v>
      </c>
      <c r="H126" s="24" t="s">
        <v>90</v>
      </c>
      <c r="I126" s="25" t="s">
        <v>222</v>
      </c>
      <c r="J126" s="25" t="s">
        <v>144</v>
      </c>
      <c r="K126" s="25"/>
      <c r="L126" s="23" t="str">
        <f>"110,0"</f>
        <v>110,0</v>
      </c>
      <c r="M126" s="24" t="str">
        <f>"71,5770"</f>
        <v>71,5770</v>
      </c>
      <c r="N126" s="23" t="s">
        <v>29</v>
      </c>
    </row>
    <row r="127" spans="1:14" ht="12.75">
      <c r="A127" s="23" t="s">
        <v>1135</v>
      </c>
      <c r="B127" s="23" t="s">
        <v>1890</v>
      </c>
      <c r="C127" s="23" t="s">
        <v>1136</v>
      </c>
      <c r="D127" s="23" t="s">
        <v>1114</v>
      </c>
      <c r="E127" s="23" t="str">
        <f>"0,6406"</f>
        <v>0,6406</v>
      </c>
      <c r="F127" s="23" t="s">
        <v>34</v>
      </c>
      <c r="G127" s="23" t="s">
        <v>997</v>
      </c>
      <c r="H127" s="25" t="s">
        <v>24</v>
      </c>
      <c r="I127" s="25" t="s">
        <v>24</v>
      </c>
      <c r="J127" s="25"/>
      <c r="K127" s="25"/>
      <c r="L127" s="23" t="str">
        <f>"0,0"</f>
        <v>0,0</v>
      </c>
      <c r="M127" s="24" t="str">
        <f>"0,0000"</f>
        <v>0,0000</v>
      </c>
      <c r="N127" s="23" t="s">
        <v>1050</v>
      </c>
    </row>
    <row r="128" spans="1:14" ht="12.75">
      <c r="A128" s="23" t="s">
        <v>1137</v>
      </c>
      <c r="B128" s="23" t="s">
        <v>1890</v>
      </c>
      <c r="C128" s="23" t="s">
        <v>1138</v>
      </c>
      <c r="D128" s="23" t="s">
        <v>330</v>
      </c>
      <c r="E128" s="23" t="str">
        <f>"0,6402"</f>
        <v>0,6402</v>
      </c>
      <c r="F128" s="23" t="s">
        <v>18</v>
      </c>
      <c r="G128" s="23" t="s">
        <v>19</v>
      </c>
      <c r="H128" s="25" t="s">
        <v>23</v>
      </c>
      <c r="I128" s="25" t="s">
        <v>23</v>
      </c>
      <c r="J128" s="25" t="s">
        <v>23</v>
      </c>
      <c r="K128" s="25"/>
      <c r="L128" s="23" t="str">
        <f>"0,0"</f>
        <v>0,0</v>
      </c>
      <c r="M128" s="24" t="str">
        <f>"0,0000"</f>
        <v>0,0000</v>
      </c>
      <c r="N128" s="23" t="s">
        <v>29</v>
      </c>
    </row>
    <row r="129" spans="1:14" ht="12.75">
      <c r="A129" s="23" t="s">
        <v>1139</v>
      </c>
      <c r="B129" s="23" t="s">
        <v>1895</v>
      </c>
      <c r="C129" s="23" t="s">
        <v>1140</v>
      </c>
      <c r="D129" s="23" t="s">
        <v>734</v>
      </c>
      <c r="E129" s="23" t="str">
        <f>"0,6440"</f>
        <v>0,6440</v>
      </c>
      <c r="F129" s="23" t="s">
        <v>18</v>
      </c>
      <c r="G129" s="23" t="s">
        <v>19</v>
      </c>
      <c r="H129" s="24" t="s">
        <v>118</v>
      </c>
      <c r="I129" s="24" t="s">
        <v>151</v>
      </c>
      <c r="J129" s="25" t="s">
        <v>198</v>
      </c>
      <c r="K129" s="25"/>
      <c r="L129" s="23" t="str">
        <f>"175,0"</f>
        <v>175,0</v>
      </c>
      <c r="M129" s="24" t="str">
        <f>"112,7000"</f>
        <v>112,7000</v>
      </c>
      <c r="N129" s="23" t="s">
        <v>29</v>
      </c>
    </row>
    <row r="130" spans="1:14" ht="12.75">
      <c r="A130" s="23" t="s">
        <v>1141</v>
      </c>
      <c r="B130" s="23" t="s">
        <v>1891</v>
      </c>
      <c r="C130" s="23" t="s">
        <v>1142</v>
      </c>
      <c r="D130" s="23" t="s">
        <v>744</v>
      </c>
      <c r="E130" s="23" t="str">
        <f>"0,6467"</f>
        <v>0,6467</v>
      </c>
      <c r="F130" s="26" t="s">
        <v>34</v>
      </c>
      <c r="G130" s="23" t="s">
        <v>167</v>
      </c>
      <c r="H130" s="24" t="s">
        <v>23</v>
      </c>
      <c r="I130" s="24" t="s">
        <v>114</v>
      </c>
      <c r="J130" s="24" t="s">
        <v>24</v>
      </c>
      <c r="K130" s="25"/>
      <c r="L130" s="23" t="str">
        <f>"155,0"</f>
        <v>155,0</v>
      </c>
      <c r="M130" s="24" t="str">
        <f>"102,2433"</f>
        <v>102,2433</v>
      </c>
      <c r="N130" s="23"/>
    </row>
    <row r="131" spans="1:14" ht="12.75">
      <c r="A131" s="23" t="s">
        <v>1143</v>
      </c>
      <c r="B131" s="23" t="s">
        <v>1892</v>
      </c>
      <c r="C131" s="23" t="s">
        <v>1144</v>
      </c>
      <c r="D131" s="23" t="s">
        <v>1145</v>
      </c>
      <c r="E131" s="23" t="str">
        <f>"0,6455"</f>
        <v>0,6455</v>
      </c>
      <c r="F131" s="26" t="s">
        <v>34</v>
      </c>
      <c r="G131" s="23" t="s">
        <v>421</v>
      </c>
      <c r="H131" s="24" t="s">
        <v>39</v>
      </c>
      <c r="I131" s="25" t="s">
        <v>40</v>
      </c>
      <c r="J131" s="24" t="s">
        <v>40</v>
      </c>
      <c r="K131" s="25"/>
      <c r="L131" s="23" t="str">
        <f>"147,5"</f>
        <v>147,5</v>
      </c>
      <c r="M131" s="24" t="str">
        <f>"97,1155"</f>
        <v>97,1155</v>
      </c>
      <c r="N131" s="23" t="s">
        <v>1146</v>
      </c>
    </row>
    <row r="132" spans="1:14" ht="12.75">
      <c r="A132" s="23" t="s">
        <v>1147</v>
      </c>
      <c r="B132" s="23" t="s">
        <v>1892</v>
      </c>
      <c r="C132" s="23" t="s">
        <v>1148</v>
      </c>
      <c r="D132" s="23" t="s">
        <v>1149</v>
      </c>
      <c r="E132" s="23" t="str">
        <f>"0,6523"</f>
        <v>0,6523</v>
      </c>
      <c r="F132" s="23" t="s">
        <v>18</v>
      </c>
      <c r="G132" s="23" t="s">
        <v>19</v>
      </c>
      <c r="H132" s="24" t="s">
        <v>39</v>
      </c>
      <c r="I132" s="25" t="s">
        <v>40</v>
      </c>
      <c r="J132" s="25" t="s">
        <v>40</v>
      </c>
      <c r="K132" s="25"/>
      <c r="L132" s="23" t="str">
        <f>"140,0"</f>
        <v>140,0</v>
      </c>
      <c r="M132" s="24" t="str">
        <f>"92,2352"</f>
        <v>92,2352</v>
      </c>
      <c r="N132" s="23"/>
    </row>
    <row r="133" spans="1:14" ht="12.75">
      <c r="A133" s="23" t="s">
        <v>1150</v>
      </c>
      <c r="B133" s="23" t="s">
        <v>1892</v>
      </c>
      <c r="C133" s="23" t="s">
        <v>1151</v>
      </c>
      <c r="D133" s="23" t="s">
        <v>1152</v>
      </c>
      <c r="E133" s="23" t="str">
        <f>"0,6447"</f>
        <v>0,6447</v>
      </c>
      <c r="F133" s="23" t="s">
        <v>18</v>
      </c>
      <c r="G133" s="23" t="s">
        <v>19</v>
      </c>
      <c r="H133" s="24" t="s">
        <v>109</v>
      </c>
      <c r="I133" s="24" t="s">
        <v>96</v>
      </c>
      <c r="J133" s="25" t="s">
        <v>123</v>
      </c>
      <c r="K133" s="25"/>
      <c r="L133" s="23" t="str">
        <f>"130,0"</f>
        <v>130,0</v>
      </c>
      <c r="M133" s="24" t="str">
        <f>"86,4091"</f>
        <v>86,4091</v>
      </c>
      <c r="N133" s="23" t="s">
        <v>1075</v>
      </c>
    </row>
    <row r="134" spans="1:14" ht="12.75">
      <c r="A134" s="23" t="s">
        <v>1153</v>
      </c>
      <c r="B134" s="23" t="s">
        <v>1890</v>
      </c>
      <c r="C134" s="23" t="s">
        <v>1154</v>
      </c>
      <c r="D134" s="23" t="s">
        <v>171</v>
      </c>
      <c r="E134" s="23" t="str">
        <f>"0,6410"</f>
        <v>0,6410</v>
      </c>
      <c r="F134" s="23" t="s">
        <v>18</v>
      </c>
      <c r="G134" s="23" t="s">
        <v>19</v>
      </c>
      <c r="H134" s="25" t="s">
        <v>123</v>
      </c>
      <c r="I134" s="25" t="s">
        <v>188</v>
      </c>
      <c r="J134" s="25"/>
      <c r="K134" s="25"/>
      <c r="L134" s="23" t="str">
        <f>"0,0"</f>
        <v>0,0</v>
      </c>
      <c r="M134" s="24" t="str">
        <f>"0,0000"</f>
        <v>0,0000</v>
      </c>
      <c r="N134" s="23" t="s">
        <v>1155</v>
      </c>
    </row>
    <row r="135" spans="1:14" ht="12.75">
      <c r="A135" s="23" t="s">
        <v>1156</v>
      </c>
      <c r="B135" s="23" t="s">
        <v>1891</v>
      </c>
      <c r="C135" s="23" t="s">
        <v>1157</v>
      </c>
      <c r="D135" s="23" t="s">
        <v>1158</v>
      </c>
      <c r="E135" s="23" t="str">
        <f>"0,6432"</f>
        <v>0,6432</v>
      </c>
      <c r="F135" s="23" t="s">
        <v>34</v>
      </c>
      <c r="G135" s="23" t="s">
        <v>35</v>
      </c>
      <c r="H135" s="25" t="s">
        <v>39</v>
      </c>
      <c r="I135" s="24" t="s">
        <v>114</v>
      </c>
      <c r="J135" s="24" t="s">
        <v>24</v>
      </c>
      <c r="K135" s="25"/>
      <c r="L135" s="23" t="str">
        <f>"155,0"</f>
        <v>155,0</v>
      </c>
      <c r="M135" s="24" t="str">
        <f>"107,8711"</f>
        <v>107,8711</v>
      </c>
      <c r="N135" s="23" t="s">
        <v>29</v>
      </c>
    </row>
    <row r="136" spans="1:14" ht="12.75">
      <c r="A136" s="23" t="s">
        <v>1159</v>
      </c>
      <c r="B136" s="23" t="s">
        <v>1895</v>
      </c>
      <c r="C136" s="23" t="s">
        <v>1160</v>
      </c>
      <c r="D136" s="23" t="s">
        <v>1161</v>
      </c>
      <c r="E136" s="23" t="str">
        <f>"0,6503"</f>
        <v>0,6503</v>
      </c>
      <c r="F136" s="23" t="s">
        <v>18</v>
      </c>
      <c r="G136" s="23" t="s">
        <v>19</v>
      </c>
      <c r="H136" s="24" t="s">
        <v>114</v>
      </c>
      <c r="I136" s="24" t="s">
        <v>41</v>
      </c>
      <c r="J136" s="24" t="s">
        <v>24</v>
      </c>
      <c r="K136" s="25"/>
      <c r="L136" s="23" t="str">
        <f>"155,0"</f>
        <v>155,0</v>
      </c>
      <c r="M136" s="24" t="str">
        <f>"113,9000"</f>
        <v>113,9000</v>
      </c>
      <c r="N136" s="23" t="s">
        <v>29</v>
      </c>
    </row>
    <row r="137" spans="1:14" ht="12.75">
      <c r="A137" s="23" t="s">
        <v>1162</v>
      </c>
      <c r="B137" s="23" t="s">
        <v>1895</v>
      </c>
      <c r="C137" s="23" t="s">
        <v>1163</v>
      </c>
      <c r="D137" s="23" t="s">
        <v>1164</v>
      </c>
      <c r="E137" s="23" t="str">
        <f>"0,6398"</f>
        <v>0,6398</v>
      </c>
      <c r="F137" s="23" t="s">
        <v>18</v>
      </c>
      <c r="G137" s="23" t="s">
        <v>19</v>
      </c>
      <c r="H137" s="24" t="s">
        <v>288</v>
      </c>
      <c r="I137" s="24" t="s">
        <v>114</v>
      </c>
      <c r="J137" s="25" t="s">
        <v>41</v>
      </c>
      <c r="K137" s="25"/>
      <c r="L137" s="23" t="str">
        <f>"150,0"</f>
        <v>150,0</v>
      </c>
      <c r="M137" s="24" t="str">
        <f>"123,8973"</f>
        <v>123,8973</v>
      </c>
      <c r="N137" s="23" t="s">
        <v>1165</v>
      </c>
    </row>
    <row r="138" spans="1:14" ht="12.75">
      <c r="A138" s="23" t="s">
        <v>1166</v>
      </c>
      <c r="B138" s="23" t="s">
        <v>1891</v>
      </c>
      <c r="C138" s="23" t="s">
        <v>1167</v>
      </c>
      <c r="D138" s="23" t="s">
        <v>166</v>
      </c>
      <c r="E138" s="23" t="str">
        <f>"0,6395"</f>
        <v>0,6395</v>
      </c>
      <c r="F138" s="23" t="s">
        <v>34</v>
      </c>
      <c r="G138" s="23" t="s">
        <v>622</v>
      </c>
      <c r="H138" s="24" t="s">
        <v>222</v>
      </c>
      <c r="I138" s="24" t="s">
        <v>109</v>
      </c>
      <c r="J138" s="24" t="s">
        <v>96</v>
      </c>
      <c r="K138" s="25"/>
      <c r="L138" s="23" t="str">
        <f>"130,0"</f>
        <v>130,0</v>
      </c>
      <c r="M138" s="24" t="str">
        <f>"101,8404"</f>
        <v>101,8404</v>
      </c>
      <c r="N138" s="23"/>
    </row>
    <row r="139" spans="1:14" ht="12.75">
      <c r="A139" s="12" t="s">
        <v>1169</v>
      </c>
      <c r="B139" s="12" t="s">
        <v>1895</v>
      </c>
      <c r="C139" s="12" t="s">
        <v>1170</v>
      </c>
      <c r="D139" s="12" t="s">
        <v>333</v>
      </c>
      <c r="E139" s="12" t="str">
        <f>"0,6519"</f>
        <v>0,6519</v>
      </c>
      <c r="F139" s="12" t="s">
        <v>18</v>
      </c>
      <c r="G139" s="12" t="s">
        <v>19</v>
      </c>
      <c r="H139" s="14" t="s">
        <v>96</v>
      </c>
      <c r="I139" s="14" t="s">
        <v>188</v>
      </c>
      <c r="J139" s="13"/>
      <c r="K139" s="13"/>
      <c r="L139" s="12" t="str">
        <f>"137,5"</f>
        <v>137,5</v>
      </c>
      <c r="M139" s="14" t="str">
        <f>"144,3144"</f>
        <v>144,3144</v>
      </c>
      <c r="N139" s="12" t="s">
        <v>1020</v>
      </c>
    </row>
    <row r="141" spans="1:14" ht="15">
      <c r="A141" s="48" t="s">
        <v>30</v>
      </c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</row>
    <row r="142" spans="1:14" ht="12.75">
      <c r="A142" s="9" t="s">
        <v>1171</v>
      </c>
      <c r="B142" s="9" t="s">
        <v>1892</v>
      </c>
      <c r="C142" s="9" t="s">
        <v>1172</v>
      </c>
      <c r="D142" s="9" t="s">
        <v>1173</v>
      </c>
      <c r="E142" s="9" t="str">
        <f>"0,6134"</f>
        <v>0,6134</v>
      </c>
      <c r="F142" s="9" t="s">
        <v>18</v>
      </c>
      <c r="G142" s="9" t="s">
        <v>19</v>
      </c>
      <c r="H142" s="11" t="s">
        <v>23</v>
      </c>
      <c r="I142" s="10" t="s">
        <v>24</v>
      </c>
      <c r="J142" s="11" t="s">
        <v>24</v>
      </c>
      <c r="K142" s="10"/>
      <c r="L142" s="9" t="str">
        <f>"155,0"</f>
        <v>155,0</v>
      </c>
      <c r="M142" s="11" t="str">
        <f>"95,0770"</f>
        <v>95,0770</v>
      </c>
      <c r="N142" s="9" t="s">
        <v>1174</v>
      </c>
    </row>
    <row r="143" spans="1:14" ht="12.75">
      <c r="A143" s="23" t="s">
        <v>1176</v>
      </c>
      <c r="B143" s="23" t="s">
        <v>1895</v>
      </c>
      <c r="C143" s="23" t="s">
        <v>1177</v>
      </c>
      <c r="D143" s="23" t="s">
        <v>1178</v>
      </c>
      <c r="E143" s="23" t="str">
        <f>"0,6147"</f>
        <v>0,6147</v>
      </c>
      <c r="F143" s="23" t="s">
        <v>924</v>
      </c>
      <c r="G143" s="23" t="s">
        <v>1179</v>
      </c>
      <c r="H143" s="24" t="s">
        <v>63</v>
      </c>
      <c r="I143" s="24" t="s">
        <v>64</v>
      </c>
      <c r="J143" s="25" t="s">
        <v>321</v>
      </c>
      <c r="K143" s="25"/>
      <c r="L143" s="23" t="str">
        <f>"200,0"</f>
        <v>200,0</v>
      </c>
      <c r="M143" s="24" t="str">
        <f>"122,9400"</f>
        <v>122,9400</v>
      </c>
      <c r="N143" s="23" t="s">
        <v>29</v>
      </c>
    </row>
    <row r="144" spans="1:14" ht="12.75">
      <c r="A144" s="23" t="s">
        <v>1180</v>
      </c>
      <c r="B144" s="23" t="s">
        <v>1891</v>
      </c>
      <c r="C144" s="23" t="s">
        <v>1181</v>
      </c>
      <c r="D144" s="23" t="s">
        <v>508</v>
      </c>
      <c r="E144" s="23" t="str">
        <f>"0,6126"</f>
        <v>0,6126</v>
      </c>
      <c r="F144" s="23" t="s">
        <v>18</v>
      </c>
      <c r="G144" s="23" t="s">
        <v>19</v>
      </c>
      <c r="H144" s="24" t="s">
        <v>24</v>
      </c>
      <c r="I144" s="25" t="s">
        <v>25</v>
      </c>
      <c r="J144" s="24" t="s">
        <v>25</v>
      </c>
      <c r="K144" s="25"/>
      <c r="L144" s="23" t="str">
        <f>"165,0"</f>
        <v>165,0</v>
      </c>
      <c r="M144" s="24" t="str">
        <f>"101,0790"</f>
        <v>101,0790</v>
      </c>
      <c r="N144" s="23"/>
    </row>
    <row r="145" spans="1:14" ht="12.75">
      <c r="A145" s="23" t="s">
        <v>1182</v>
      </c>
      <c r="B145" s="23" t="s">
        <v>1892</v>
      </c>
      <c r="C145" s="23" t="s">
        <v>1183</v>
      </c>
      <c r="D145" s="23" t="s">
        <v>1184</v>
      </c>
      <c r="E145" s="23" t="str">
        <f>"0,6139"</f>
        <v>0,6139</v>
      </c>
      <c r="F145" s="23" t="s">
        <v>18</v>
      </c>
      <c r="G145" s="23" t="s">
        <v>19</v>
      </c>
      <c r="H145" s="24" t="s">
        <v>114</v>
      </c>
      <c r="I145" s="24" t="s">
        <v>115</v>
      </c>
      <c r="J145" s="25" t="s">
        <v>25</v>
      </c>
      <c r="K145" s="25"/>
      <c r="L145" s="23" t="str">
        <f>"160,0"</f>
        <v>160,0</v>
      </c>
      <c r="M145" s="24" t="str">
        <f>"98,2240"</f>
        <v>98,2240</v>
      </c>
      <c r="N145" s="23"/>
    </row>
    <row r="146" spans="1:14" ht="12.75">
      <c r="A146" s="23" t="s">
        <v>1185</v>
      </c>
      <c r="B146" s="23" t="s">
        <v>1892</v>
      </c>
      <c r="C146" s="23" t="s">
        <v>1186</v>
      </c>
      <c r="D146" s="23" t="s">
        <v>348</v>
      </c>
      <c r="E146" s="23" t="str">
        <f>"0,6150"</f>
        <v>0,6150</v>
      </c>
      <c r="F146" s="23" t="s">
        <v>1187</v>
      </c>
      <c r="G146" s="23" t="s">
        <v>1188</v>
      </c>
      <c r="H146" s="24" t="s">
        <v>24</v>
      </c>
      <c r="I146" s="25" t="s">
        <v>115</v>
      </c>
      <c r="J146" s="25" t="s">
        <v>25</v>
      </c>
      <c r="K146" s="25"/>
      <c r="L146" s="23" t="str">
        <f>"155,0"</f>
        <v>155,0</v>
      </c>
      <c r="M146" s="24" t="str">
        <f>"95,3250"</f>
        <v>95,3250</v>
      </c>
      <c r="N146" s="23"/>
    </row>
    <row r="147" spans="1:14" ht="12.75">
      <c r="A147" s="23" t="s">
        <v>1189</v>
      </c>
      <c r="B147" s="23" t="s">
        <v>1892</v>
      </c>
      <c r="C147" s="23" t="s">
        <v>1190</v>
      </c>
      <c r="D147" s="23" t="s">
        <v>342</v>
      </c>
      <c r="E147" s="23" t="str">
        <f>"0,6129"</f>
        <v>0,6129</v>
      </c>
      <c r="F147" s="26" t="s">
        <v>34</v>
      </c>
      <c r="G147" s="23" t="s">
        <v>1134</v>
      </c>
      <c r="H147" s="24" t="s">
        <v>23</v>
      </c>
      <c r="I147" s="24" t="s">
        <v>24</v>
      </c>
      <c r="J147" s="25" t="s">
        <v>25</v>
      </c>
      <c r="K147" s="25"/>
      <c r="L147" s="23" t="str">
        <f>"155,0"</f>
        <v>155,0</v>
      </c>
      <c r="M147" s="24" t="str">
        <f>"94,9995"</f>
        <v>94,9995</v>
      </c>
      <c r="N147" s="23" t="s">
        <v>29</v>
      </c>
    </row>
    <row r="148" spans="1:14" ht="12.75">
      <c r="A148" s="23" t="s">
        <v>1191</v>
      </c>
      <c r="B148" s="23" t="s">
        <v>1892</v>
      </c>
      <c r="C148" s="23" t="s">
        <v>1192</v>
      </c>
      <c r="D148" s="23" t="s">
        <v>379</v>
      </c>
      <c r="E148" s="23" t="str">
        <f>"0,6152"</f>
        <v>0,6152</v>
      </c>
      <c r="F148" s="23" t="s">
        <v>34</v>
      </c>
      <c r="G148" s="23" t="s">
        <v>334</v>
      </c>
      <c r="H148" s="24" t="s">
        <v>109</v>
      </c>
      <c r="I148" s="24" t="s">
        <v>288</v>
      </c>
      <c r="J148" s="24" t="s">
        <v>114</v>
      </c>
      <c r="K148" s="25"/>
      <c r="L148" s="23" t="str">
        <f>"150,0"</f>
        <v>150,0</v>
      </c>
      <c r="M148" s="24" t="str">
        <f>"92,2800"</f>
        <v>92,2800</v>
      </c>
      <c r="N148" s="23"/>
    </row>
    <row r="149" spans="1:14" ht="12.75">
      <c r="A149" s="23" t="s">
        <v>1193</v>
      </c>
      <c r="B149" s="23" t="s">
        <v>1892</v>
      </c>
      <c r="C149" s="23" t="s">
        <v>1194</v>
      </c>
      <c r="D149" s="23" t="s">
        <v>356</v>
      </c>
      <c r="E149" s="23" t="str">
        <f>"0,6123"</f>
        <v>0,6123</v>
      </c>
      <c r="F149" s="23" t="s">
        <v>34</v>
      </c>
      <c r="G149" s="23" t="s">
        <v>352</v>
      </c>
      <c r="H149" s="24" t="s">
        <v>23</v>
      </c>
      <c r="I149" s="25" t="s">
        <v>24</v>
      </c>
      <c r="J149" s="25" t="s">
        <v>24</v>
      </c>
      <c r="K149" s="25"/>
      <c r="L149" s="23" t="str">
        <f>"145,0"</f>
        <v>145,0</v>
      </c>
      <c r="M149" s="24" t="str">
        <f>"88,7835"</f>
        <v>88,7835</v>
      </c>
      <c r="N149" s="23" t="s">
        <v>353</v>
      </c>
    </row>
    <row r="150" spans="1:14" ht="12.75">
      <c r="A150" s="23" t="s">
        <v>1195</v>
      </c>
      <c r="B150" s="23" t="s">
        <v>1888</v>
      </c>
      <c r="C150" s="23" t="s">
        <v>1196</v>
      </c>
      <c r="D150" s="23" t="s">
        <v>1197</v>
      </c>
      <c r="E150" s="23" t="str">
        <f>"0,6096"</f>
        <v>0,6096</v>
      </c>
      <c r="F150" s="23" t="s">
        <v>34</v>
      </c>
      <c r="G150" s="23" t="s">
        <v>679</v>
      </c>
      <c r="H150" s="24" t="s">
        <v>96</v>
      </c>
      <c r="I150" s="25" t="s">
        <v>39</v>
      </c>
      <c r="J150" s="25" t="s">
        <v>39</v>
      </c>
      <c r="K150" s="25"/>
      <c r="L150" s="23" t="str">
        <f>"130,0"</f>
        <v>130,0</v>
      </c>
      <c r="M150" s="24" t="str">
        <f>"79,2480"</f>
        <v>79,2480</v>
      </c>
      <c r="N150" s="23" t="s">
        <v>680</v>
      </c>
    </row>
    <row r="151" spans="1:14" ht="12.75">
      <c r="A151" s="23" t="s">
        <v>1198</v>
      </c>
      <c r="B151" s="23" t="s">
        <v>1890</v>
      </c>
      <c r="C151" s="23" t="s">
        <v>1199</v>
      </c>
      <c r="D151" s="23" t="s">
        <v>1200</v>
      </c>
      <c r="E151" s="23" t="str">
        <f>"0,6136"</f>
        <v>0,6136</v>
      </c>
      <c r="F151" s="23" t="s">
        <v>18</v>
      </c>
      <c r="G151" s="23" t="s">
        <v>19</v>
      </c>
      <c r="H151" s="25" t="s">
        <v>41</v>
      </c>
      <c r="I151" s="25" t="s">
        <v>41</v>
      </c>
      <c r="J151" s="25" t="s">
        <v>41</v>
      </c>
      <c r="K151" s="25"/>
      <c r="L151" s="23" t="str">
        <f>"0,0"</f>
        <v>0,0</v>
      </c>
      <c r="M151" s="24" t="str">
        <f>"0,0000"</f>
        <v>0,0000</v>
      </c>
      <c r="N151" s="23" t="s">
        <v>29</v>
      </c>
    </row>
    <row r="152" spans="1:14" ht="12.75">
      <c r="A152" s="23" t="s">
        <v>1201</v>
      </c>
      <c r="B152" s="23" t="s">
        <v>1890</v>
      </c>
      <c r="C152" s="23" t="s">
        <v>1202</v>
      </c>
      <c r="D152" s="23" t="s">
        <v>174</v>
      </c>
      <c r="E152" s="23" t="str">
        <f>"0,6111"</f>
        <v>0,6111</v>
      </c>
      <c r="F152" s="23" t="s">
        <v>18</v>
      </c>
      <c r="G152" s="23" t="s">
        <v>19</v>
      </c>
      <c r="H152" s="25" t="s">
        <v>197</v>
      </c>
      <c r="I152" s="25" t="s">
        <v>197</v>
      </c>
      <c r="J152" s="25"/>
      <c r="K152" s="25"/>
      <c r="L152" s="23" t="str">
        <f>"0,0"</f>
        <v>0,0</v>
      </c>
      <c r="M152" s="24" t="str">
        <f>"0,0000"</f>
        <v>0,0000</v>
      </c>
      <c r="N152" s="23" t="s">
        <v>1203</v>
      </c>
    </row>
    <row r="153" spans="1:14" ht="12.75">
      <c r="A153" s="23" t="s">
        <v>1204</v>
      </c>
      <c r="B153" s="23" t="s">
        <v>1890</v>
      </c>
      <c r="C153" s="23" t="s">
        <v>1205</v>
      </c>
      <c r="D153" s="23" t="s">
        <v>753</v>
      </c>
      <c r="E153" s="23" t="str">
        <f>"0,6098"</f>
        <v>0,6098</v>
      </c>
      <c r="F153" s="26" t="s">
        <v>34</v>
      </c>
      <c r="G153" s="23" t="s">
        <v>1206</v>
      </c>
      <c r="H153" s="25" t="s">
        <v>188</v>
      </c>
      <c r="I153" s="25" t="s">
        <v>188</v>
      </c>
      <c r="J153" s="25" t="s">
        <v>188</v>
      </c>
      <c r="K153" s="25"/>
      <c r="L153" s="23" t="str">
        <f>"0,0"</f>
        <v>0,0</v>
      </c>
      <c r="M153" s="24" t="str">
        <f>"0,0000"</f>
        <v>0,0000</v>
      </c>
      <c r="N153" s="23" t="s">
        <v>1207</v>
      </c>
    </row>
    <row r="154" spans="1:14" ht="12.75">
      <c r="A154" s="23" t="s">
        <v>1208</v>
      </c>
      <c r="B154" s="23" t="s">
        <v>1891</v>
      </c>
      <c r="C154" s="23" t="s">
        <v>1209</v>
      </c>
      <c r="D154" s="23" t="s">
        <v>1210</v>
      </c>
      <c r="E154" s="23" t="str">
        <f>"0,6093"</f>
        <v>0,6093</v>
      </c>
      <c r="F154" s="26" t="s">
        <v>18</v>
      </c>
      <c r="G154" s="23" t="s">
        <v>19</v>
      </c>
      <c r="H154" s="25" t="s">
        <v>51</v>
      </c>
      <c r="I154" s="24" t="s">
        <v>51</v>
      </c>
      <c r="J154" s="25" t="s">
        <v>118</v>
      </c>
      <c r="K154" s="25"/>
      <c r="L154" s="23" t="str">
        <f>"167,5"</f>
        <v>167,5</v>
      </c>
      <c r="M154" s="24" t="str">
        <f>"104,0989"</f>
        <v>104,0989</v>
      </c>
      <c r="N154" s="23" t="s">
        <v>29</v>
      </c>
    </row>
    <row r="155" spans="1:14" ht="12.75">
      <c r="A155" s="23" t="s">
        <v>1211</v>
      </c>
      <c r="B155" s="23" t="s">
        <v>1891</v>
      </c>
      <c r="C155" s="23" t="s">
        <v>1212</v>
      </c>
      <c r="D155" s="23" t="s">
        <v>1213</v>
      </c>
      <c r="E155" s="23" t="str">
        <f>"0,6223"</f>
        <v>0,6223</v>
      </c>
      <c r="F155" s="26" t="s">
        <v>34</v>
      </c>
      <c r="G155" s="23" t="s">
        <v>35</v>
      </c>
      <c r="H155" s="24" t="s">
        <v>24</v>
      </c>
      <c r="I155" s="24" t="s">
        <v>25</v>
      </c>
      <c r="J155" s="25" t="s">
        <v>197</v>
      </c>
      <c r="K155" s="25"/>
      <c r="L155" s="23" t="str">
        <f>"165,0"</f>
        <v>165,0</v>
      </c>
      <c r="M155" s="24" t="str">
        <f>"107,0947"</f>
        <v>107,0947</v>
      </c>
      <c r="N155" s="23"/>
    </row>
    <row r="156" spans="1:14" ht="12.75">
      <c r="A156" s="23" t="s">
        <v>1214</v>
      </c>
      <c r="B156" s="23" t="s">
        <v>1892</v>
      </c>
      <c r="C156" s="23" t="s">
        <v>1215</v>
      </c>
      <c r="D156" s="23" t="s">
        <v>1178</v>
      </c>
      <c r="E156" s="23" t="str">
        <f>"0,6147"</f>
        <v>0,6147</v>
      </c>
      <c r="F156" s="23" t="s">
        <v>18</v>
      </c>
      <c r="G156" s="23" t="s">
        <v>19</v>
      </c>
      <c r="H156" s="24" t="s">
        <v>96</v>
      </c>
      <c r="I156" s="25" t="s">
        <v>39</v>
      </c>
      <c r="J156" s="24" t="s">
        <v>39</v>
      </c>
      <c r="K156" s="25"/>
      <c r="L156" s="23" t="str">
        <f>"140,0"</f>
        <v>140,0</v>
      </c>
      <c r="M156" s="24" t="str">
        <f>"86,9186"</f>
        <v>86,9186</v>
      </c>
      <c r="N156" s="23"/>
    </row>
    <row r="157" spans="1:14" ht="12.75">
      <c r="A157" s="23" t="s">
        <v>1216</v>
      </c>
      <c r="B157" s="23" t="s">
        <v>1891</v>
      </c>
      <c r="C157" s="23" t="s">
        <v>1217</v>
      </c>
      <c r="D157" s="23" t="s">
        <v>1218</v>
      </c>
      <c r="E157" s="23" t="str">
        <f>"0,6194"</f>
        <v>0,6194</v>
      </c>
      <c r="F157" s="23" t="s">
        <v>34</v>
      </c>
      <c r="G157" s="23" t="s">
        <v>767</v>
      </c>
      <c r="H157" s="24" t="s">
        <v>24</v>
      </c>
      <c r="I157" s="24" t="s">
        <v>115</v>
      </c>
      <c r="J157" s="24" t="s">
        <v>25</v>
      </c>
      <c r="K157" s="25"/>
      <c r="L157" s="23" t="str">
        <f>"165,0"</f>
        <v>165,0</v>
      </c>
      <c r="M157" s="24" t="str">
        <f>"107,8221"</f>
        <v>107,8221</v>
      </c>
      <c r="N157" s="23" t="s">
        <v>1219</v>
      </c>
    </row>
    <row r="158" spans="1:14" ht="12.75">
      <c r="A158" s="23" t="s">
        <v>1220</v>
      </c>
      <c r="B158" s="23" t="s">
        <v>1891</v>
      </c>
      <c r="C158" s="23" t="s">
        <v>1221</v>
      </c>
      <c r="D158" s="23" t="s">
        <v>1222</v>
      </c>
      <c r="E158" s="23" t="str">
        <f>"0,6169"</f>
        <v>0,6169</v>
      </c>
      <c r="F158" s="23" t="s">
        <v>34</v>
      </c>
      <c r="G158" s="23" t="s">
        <v>167</v>
      </c>
      <c r="H158" s="24" t="s">
        <v>39</v>
      </c>
      <c r="I158" s="24" t="s">
        <v>114</v>
      </c>
      <c r="J158" s="25" t="s">
        <v>115</v>
      </c>
      <c r="K158" s="25"/>
      <c r="L158" s="23" t="str">
        <f>"150,0"</f>
        <v>150,0</v>
      </c>
      <c r="M158" s="24" t="str">
        <f>"98,8274"</f>
        <v>98,8274</v>
      </c>
      <c r="N158" s="23" t="s">
        <v>1165</v>
      </c>
    </row>
    <row r="159" spans="1:14" ht="12.75">
      <c r="A159" s="23" t="s">
        <v>1223</v>
      </c>
      <c r="B159" s="23" t="s">
        <v>1892</v>
      </c>
      <c r="C159" s="23" t="s">
        <v>1224</v>
      </c>
      <c r="D159" s="23" t="s">
        <v>1225</v>
      </c>
      <c r="E159" s="23" t="str">
        <f>"0,6166"</f>
        <v>0,6166</v>
      </c>
      <c r="F159" s="23" t="s">
        <v>18</v>
      </c>
      <c r="G159" s="23" t="s">
        <v>19</v>
      </c>
      <c r="H159" s="25" t="s">
        <v>101</v>
      </c>
      <c r="I159" s="24" t="s">
        <v>101</v>
      </c>
      <c r="J159" s="24" t="s">
        <v>126</v>
      </c>
      <c r="K159" s="25"/>
      <c r="L159" s="23" t="str">
        <f>"132,5"</f>
        <v>132,5</v>
      </c>
      <c r="M159" s="24" t="str">
        <f>"95,1799"</f>
        <v>95,1799</v>
      </c>
      <c r="N159" s="23"/>
    </row>
    <row r="160" spans="1:14" ht="12.75">
      <c r="A160" s="23" t="s">
        <v>1227</v>
      </c>
      <c r="B160" s="23" t="s">
        <v>1895</v>
      </c>
      <c r="C160" s="23" t="s">
        <v>1228</v>
      </c>
      <c r="D160" s="23" t="s">
        <v>1229</v>
      </c>
      <c r="E160" s="23" t="str">
        <f>"0,6183"</f>
        <v>0,6183</v>
      </c>
      <c r="F160" s="23" t="s">
        <v>34</v>
      </c>
      <c r="G160" s="23" t="s">
        <v>599</v>
      </c>
      <c r="H160" s="24" t="s">
        <v>114</v>
      </c>
      <c r="I160" s="24" t="s">
        <v>115</v>
      </c>
      <c r="J160" s="24" t="s">
        <v>118</v>
      </c>
      <c r="K160" s="25"/>
      <c r="L160" s="23" t="str">
        <f>"170,0"</f>
        <v>170,0</v>
      </c>
      <c r="M160" s="24" t="str">
        <f>"130,9683"</f>
        <v>130,9683</v>
      </c>
      <c r="N160" s="23"/>
    </row>
    <row r="161" spans="1:14" ht="12.75">
      <c r="A161" s="23" t="s">
        <v>1231</v>
      </c>
      <c r="B161" s="23" t="s">
        <v>1895</v>
      </c>
      <c r="C161" s="23" t="s">
        <v>1232</v>
      </c>
      <c r="D161" s="23" t="s">
        <v>1173</v>
      </c>
      <c r="E161" s="23" t="str">
        <f>"0,6134"</f>
        <v>0,6134</v>
      </c>
      <c r="F161" s="23" t="s">
        <v>1233</v>
      </c>
      <c r="G161" s="23" t="s">
        <v>1234</v>
      </c>
      <c r="H161" s="24" t="s">
        <v>115</v>
      </c>
      <c r="I161" s="25" t="s">
        <v>118</v>
      </c>
      <c r="J161" s="24" t="s">
        <v>118</v>
      </c>
      <c r="K161" s="25"/>
      <c r="L161" s="23" t="str">
        <f>"170,0"</f>
        <v>170,0</v>
      </c>
      <c r="M161" s="24" t="str">
        <f>"127,7405"</f>
        <v>127,7405</v>
      </c>
      <c r="N161" s="23" t="s">
        <v>1235</v>
      </c>
    </row>
    <row r="162" spans="1:14" ht="12.75">
      <c r="A162" s="12" t="s">
        <v>1236</v>
      </c>
      <c r="B162" s="12" t="s">
        <v>1891</v>
      </c>
      <c r="C162" s="12" t="s">
        <v>1237</v>
      </c>
      <c r="D162" s="12" t="s">
        <v>1200</v>
      </c>
      <c r="E162" s="12" t="str">
        <f>"0,6136"</f>
        <v>0,6136</v>
      </c>
      <c r="F162" s="12" t="s">
        <v>34</v>
      </c>
      <c r="G162" s="12" t="s">
        <v>352</v>
      </c>
      <c r="H162" s="14" t="s">
        <v>24</v>
      </c>
      <c r="I162" s="13" t="s">
        <v>25</v>
      </c>
      <c r="J162" s="13" t="s">
        <v>25</v>
      </c>
      <c r="K162" s="13"/>
      <c r="L162" s="12" t="str">
        <f>"155,0"</f>
        <v>155,0</v>
      </c>
      <c r="M162" s="14" t="str">
        <f>"120,5969"</f>
        <v>120,5969</v>
      </c>
      <c r="N162" s="12"/>
    </row>
    <row r="164" spans="1:14" ht="15">
      <c r="A164" s="48" t="s">
        <v>45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</row>
    <row r="165" spans="1:14" ht="12.75">
      <c r="A165" s="9" t="s">
        <v>1238</v>
      </c>
      <c r="B165" s="9" t="s">
        <v>1892</v>
      </c>
      <c r="C165" s="9" t="s">
        <v>1239</v>
      </c>
      <c r="D165" s="9" t="s">
        <v>1240</v>
      </c>
      <c r="E165" s="9" t="str">
        <f>"0,5926"</f>
        <v>0,5926</v>
      </c>
      <c r="F165" s="9" t="s">
        <v>618</v>
      </c>
      <c r="G165" s="9" t="s">
        <v>619</v>
      </c>
      <c r="H165" s="10" t="s">
        <v>23</v>
      </c>
      <c r="I165" s="11" t="s">
        <v>114</v>
      </c>
      <c r="J165" s="10" t="s">
        <v>118</v>
      </c>
      <c r="K165" s="10"/>
      <c r="L165" s="9" t="str">
        <f>"150,0"</f>
        <v>150,0</v>
      </c>
      <c r="M165" s="11" t="str">
        <f>"88,8900"</f>
        <v>88,8900</v>
      </c>
      <c r="N165" s="9"/>
    </row>
    <row r="166" spans="1:14" ht="12.75">
      <c r="A166" s="23" t="s">
        <v>1241</v>
      </c>
      <c r="B166" s="23" t="s">
        <v>1895</v>
      </c>
      <c r="C166" s="23" t="s">
        <v>1242</v>
      </c>
      <c r="D166" s="23" t="s">
        <v>1243</v>
      </c>
      <c r="E166" s="23" t="str">
        <f>"0,5912"</f>
        <v>0,5912</v>
      </c>
      <c r="F166" s="23" t="s">
        <v>18</v>
      </c>
      <c r="G166" s="23" t="s">
        <v>19</v>
      </c>
      <c r="H166" s="24" t="s">
        <v>326</v>
      </c>
      <c r="I166" s="24" t="s">
        <v>747</v>
      </c>
      <c r="J166" s="24" t="s">
        <v>143</v>
      </c>
      <c r="K166" s="25"/>
      <c r="L166" s="23" t="str">
        <f>"197,5"</f>
        <v>197,5</v>
      </c>
      <c r="M166" s="24" t="str">
        <f>"116,7620"</f>
        <v>116,7620</v>
      </c>
      <c r="N166" s="23" t="s">
        <v>1244</v>
      </c>
    </row>
    <row r="167" spans="1:14" ht="12.75">
      <c r="A167" s="23" t="s">
        <v>1245</v>
      </c>
      <c r="B167" s="23" t="s">
        <v>1891</v>
      </c>
      <c r="C167" s="23" t="s">
        <v>1246</v>
      </c>
      <c r="D167" s="23" t="s">
        <v>1247</v>
      </c>
      <c r="E167" s="23" t="str">
        <f>"0,5905"</f>
        <v>0,5905</v>
      </c>
      <c r="F167" s="23" t="s">
        <v>34</v>
      </c>
      <c r="G167" s="23" t="s">
        <v>1248</v>
      </c>
      <c r="H167" s="24" t="s">
        <v>326</v>
      </c>
      <c r="I167" s="25" t="s">
        <v>62</v>
      </c>
      <c r="J167" s="24" t="s">
        <v>62</v>
      </c>
      <c r="K167" s="25"/>
      <c r="L167" s="23" t="str">
        <f>"190,0"</f>
        <v>190,0</v>
      </c>
      <c r="M167" s="24" t="str">
        <f>"112,1950"</f>
        <v>112,1950</v>
      </c>
      <c r="N167" s="23" t="s">
        <v>1249</v>
      </c>
    </row>
    <row r="168" spans="1:14" ht="12.75">
      <c r="A168" s="23" t="s">
        <v>1250</v>
      </c>
      <c r="B168" s="23" t="s">
        <v>1891</v>
      </c>
      <c r="C168" s="23" t="s">
        <v>1251</v>
      </c>
      <c r="D168" s="23" t="s">
        <v>1252</v>
      </c>
      <c r="E168" s="23" t="str">
        <f>"0,5964"</f>
        <v>0,5964</v>
      </c>
      <c r="F168" s="23" t="s">
        <v>18</v>
      </c>
      <c r="G168" s="23" t="s">
        <v>19</v>
      </c>
      <c r="H168" s="24" t="s">
        <v>51</v>
      </c>
      <c r="I168" s="24" t="s">
        <v>118</v>
      </c>
      <c r="J168" s="24" t="s">
        <v>197</v>
      </c>
      <c r="K168" s="25"/>
      <c r="L168" s="23" t="str">
        <f>"172,5"</f>
        <v>172,5</v>
      </c>
      <c r="M168" s="24" t="str">
        <f>"102,8790"</f>
        <v>102,8790</v>
      </c>
      <c r="N168" s="23"/>
    </row>
    <row r="169" spans="1:14" ht="12.75">
      <c r="A169" s="23" t="s">
        <v>1253</v>
      </c>
      <c r="B169" s="23" t="s">
        <v>1891</v>
      </c>
      <c r="C169" s="23" t="s">
        <v>1254</v>
      </c>
      <c r="D169" s="23" t="s">
        <v>1255</v>
      </c>
      <c r="E169" s="23" t="str">
        <f>"0,6017"</f>
        <v>0,6017</v>
      </c>
      <c r="F169" s="26" t="s">
        <v>34</v>
      </c>
      <c r="G169" s="23" t="s">
        <v>679</v>
      </c>
      <c r="H169" s="24" t="s">
        <v>115</v>
      </c>
      <c r="I169" s="24" t="s">
        <v>25</v>
      </c>
      <c r="J169" s="24" t="s">
        <v>118</v>
      </c>
      <c r="K169" s="25"/>
      <c r="L169" s="23" t="str">
        <f>"170,0"</f>
        <v>170,0</v>
      </c>
      <c r="M169" s="24" t="str">
        <f>"102,2890"</f>
        <v>102,2890</v>
      </c>
      <c r="N169" s="23"/>
    </row>
    <row r="170" spans="1:14" ht="12.75">
      <c r="A170" s="23" t="s">
        <v>1256</v>
      </c>
      <c r="B170" s="23" t="s">
        <v>1892</v>
      </c>
      <c r="C170" s="23" t="s">
        <v>1257</v>
      </c>
      <c r="D170" s="23" t="s">
        <v>1258</v>
      </c>
      <c r="E170" s="23" t="str">
        <f>"0,5893"</f>
        <v>0,5893</v>
      </c>
      <c r="F170" s="23" t="s">
        <v>308</v>
      </c>
      <c r="G170" s="23" t="s">
        <v>400</v>
      </c>
      <c r="H170" s="24" t="s">
        <v>115</v>
      </c>
      <c r="I170" s="25" t="s">
        <v>118</v>
      </c>
      <c r="J170" s="25" t="s">
        <v>118</v>
      </c>
      <c r="K170" s="25"/>
      <c r="L170" s="23" t="str">
        <f>"160,0"</f>
        <v>160,0</v>
      </c>
      <c r="M170" s="24" t="str">
        <f>"94,2880"</f>
        <v>94,2880</v>
      </c>
      <c r="N170" s="23" t="s">
        <v>1259</v>
      </c>
    </row>
    <row r="171" spans="1:14" ht="12.75">
      <c r="A171" s="23" t="s">
        <v>1260</v>
      </c>
      <c r="B171" s="23" t="s">
        <v>1892</v>
      </c>
      <c r="C171" s="23" t="s">
        <v>1261</v>
      </c>
      <c r="D171" s="23" t="s">
        <v>1262</v>
      </c>
      <c r="E171" s="23" t="str">
        <f>"0,5972"</f>
        <v>0,5972</v>
      </c>
      <c r="F171" s="23" t="s">
        <v>18</v>
      </c>
      <c r="G171" s="23" t="s">
        <v>19</v>
      </c>
      <c r="H171" s="24" t="s">
        <v>23</v>
      </c>
      <c r="I171" s="24" t="s">
        <v>114</v>
      </c>
      <c r="J171" s="24" t="s">
        <v>41</v>
      </c>
      <c r="K171" s="25"/>
      <c r="L171" s="23" t="str">
        <f>"152,5"</f>
        <v>152,5</v>
      </c>
      <c r="M171" s="24" t="str">
        <f>"91,0730"</f>
        <v>91,0730</v>
      </c>
      <c r="N171" s="23" t="s">
        <v>135</v>
      </c>
    </row>
    <row r="172" spans="1:14" ht="12.75">
      <c r="A172" s="23" t="s">
        <v>1263</v>
      </c>
      <c r="B172" s="23" t="s">
        <v>1892</v>
      </c>
      <c r="C172" s="23" t="s">
        <v>1264</v>
      </c>
      <c r="D172" s="23" t="s">
        <v>1265</v>
      </c>
      <c r="E172" s="23" t="str">
        <f>"0,5898"</f>
        <v>0,5898</v>
      </c>
      <c r="F172" s="26" t="s">
        <v>34</v>
      </c>
      <c r="G172" s="23" t="s">
        <v>1266</v>
      </c>
      <c r="H172" s="25" t="s">
        <v>114</v>
      </c>
      <c r="I172" s="24" t="s">
        <v>114</v>
      </c>
      <c r="J172" s="25" t="s">
        <v>305</v>
      </c>
      <c r="K172" s="25"/>
      <c r="L172" s="23" t="str">
        <f>"150,0"</f>
        <v>150,0</v>
      </c>
      <c r="M172" s="24" t="str">
        <f>"88,4700"</f>
        <v>88,4700</v>
      </c>
      <c r="N172" s="23" t="s">
        <v>1267</v>
      </c>
    </row>
    <row r="173" spans="1:14" ht="12.75">
      <c r="A173" s="23" t="s">
        <v>1268</v>
      </c>
      <c r="B173" s="23" t="s">
        <v>1888</v>
      </c>
      <c r="C173" s="23" t="s">
        <v>1269</v>
      </c>
      <c r="D173" s="23" t="s">
        <v>1270</v>
      </c>
      <c r="E173" s="23" t="str">
        <f>"0,5946"</f>
        <v>0,5946</v>
      </c>
      <c r="F173" s="23" t="s">
        <v>934</v>
      </c>
      <c r="G173" s="23" t="s">
        <v>935</v>
      </c>
      <c r="H173" s="24" t="s">
        <v>123</v>
      </c>
      <c r="I173" s="24" t="s">
        <v>39</v>
      </c>
      <c r="J173" s="24" t="s">
        <v>23</v>
      </c>
      <c r="K173" s="25"/>
      <c r="L173" s="23" t="str">
        <f>"145,0"</f>
        <v>145,0</v>
      </c>
      <c r="M173" s="24" t="str">
        <f>"86,2170"</f>
        <v>86,2170</v>
      </c>
      <c r="N173" s="23" t="s">
        <v>936</v>
      </c>
    </row>
    <row r="174" spans="1:14" ht="12.75">
      <c r="A174" s="23" t="s">
        <v>1271</v>
      </c>
      <c r="B174" s="23" t="s">
        <v>1888</v>
      </c>
      <c r="C174" s="23" t="s">
        <v>1272</v>
      </c>
      <c r="D174" s="23" t="s">
        <v>1273</v>
      </c>
      <c r="E174" s="23" t="str">
        <f>"0,5932"</f>
        <v>0,5932</v>
      </c>
      <c r="F174" s="23" t="s">
        <v>34</v>
      </c>
      <c r="G174" s="23" t="s">
        <v>622</v>
      </c>
      <c r="H174" s="24" t="s">
        <v>23</v>
      </c>
      <c r="I174" s="25" t="s">
        <v>115</v>
      </c>
      <c r="J174" s="25" t="s">
        <v>118</v>
      </c>
      <c r="K174" s="25"/>
      <c r="L174" s="23" t="str">
        <f>"145,0"</f>
        <v>145,0</v>
      </c>
      <c r="M174" s="24" t="str">
        <f>"86,0140"</f>
        <v>86,0140</v>
      </c>
      <c r="N174" s="23"/>
    </row>
    <row r="175" spans="1:14" ht="12.75">
      <c r="A175" s="23" t="s">
        <v>1274</v>
      </c>
      <c r="B175" s="23" t="s">
        <v>1890</v>
      </c>
      <c r="C175" s="23" t="s">
        <v>1275</v>
      </c>
      <c r="D175" s="23" t="s">
        <v>395</v>
      </c>
      <c r="E175" s="23" t="str">
        <f>"0,6062"</f>
        <v>0,6062</v>
      </c>
      <c r="F175" s="23" t="s">
        <v>18</v>
      </c>
      <c r="G175" s="23" t="s">
        <v>19</v>
      </c>
      <c r="H175" s="25" t="s">
        <v>62</v>
      </c>
      <c r="I175" s="25"/>
      <c r="J175" s="25"/>
      <c r="K175" s="25"/>
      <c r="L175" s="23" t="str">
        <f>"0,0"</f>
        <v>0,0</v>
      </c>
      <c r="M175" s="24" t="str">
        <f>"0,0000"</f>
        <v>0,0000</v>
      </c>
      <c r="N175" s="23" t="s">
        <v>200</v>
      </c>
    </row>
    <row r="176" spans="1:14" ht="12.75">
      <c r="A176" s="23" t="s">
        <v>1241</v>
      </c>
      <c r="B176" s="23" t="s">
        <v>1895</v>
      </c>
      <c r="C176" s="23" t="s">
        <v>1276</v>
      </c>
      <c r="D176" s="23" t="s">
        <v>1243</v>
      </c>
      <c r="E176" s="23" t="str">
        <f>"0,5912"</f>
        <v>0,5912</v>
      </c>
      <c r="F176" s="23" t="s">
        <v>18</v>
      </c>
      <c r="G176" s="23" t="s">
        <v>19</v>
      </c>
      <c r="H176" s="24" t="s">
        <v>326</v>
      </c>
      <c r="I176" s="24" t="s">
        <v>747</v>
      </c>
      <c r="J176" s="24" t="s">
        <v>143</v>
      </c>
      <c r="K176" s="25"/>
      <c r="L176" s="23" t="str">
        <f>"197,5"</f>
        <v>197,5</v>
      </c>
      <c r="M176" s="24" t="str">
        <f>"120,3816"</f>
        <v>120,3816</v>
      </c>
      <c r="N176" s="23" t="s">
        <v>1244</v>
      </c>
    </row>
    <row r="177" spans="1:14" ht="12.75">
      <c r="A177" s="23" t="s">
        <v>1277</v>
      </c>
      <c r="B177" s="23" t="s">
        <v>1891</v>
      </c>
      <c r="C177" s="23" t="s">
        <v>1278</v>
      </c>
      <c r="D177" s="23" t="s">
        <v>1240</v>
      </c>
      <c r="E177" s="23" t="str">
        <f>"0,5926"</f>
        <v>0,5926</v>
      </c>
      <c r="F177" s="23" t="s">
        <v>34</v>
      </c>
      <c r="G177" s="23" t="s">
        <v>1279</v>
      </c>
      <c r="H177" s="24" t="s">
        <v>118</v>
      </c>
      <c r="I177" s="24" t="s">
        <v>151</v>
      </c>
      <c r="J177" s="24" t="s">
        <v>61</v>
      </c>
      <c r="K177" s="25"/>
      <c r="L177" s="23" t="str">
        <f>"180,0"</f>
        <v>180,0</v>
      </c>
      <c r="M177" s="24" t="str">
        <f>"111,2547"</f>
        <v>111,2547</v>
      </c>
      <c r="N177" s="23" t="s">
        <v>1280</v>
      </c>
    </row>
    <row r="178" spans="1:14" ht="12.75">
      <c r="A178" s="23" t="s">
        <v>1281</v>
      </c>
      <c r="B178" s="23" t="s">
        <v>1891</v>
      </c>
      <c r="C178" s="23" t="s">
        <v>1282</v>
      </c>
      <c r="D178" s="23" t="s">
        <v>1283</v>
      </c>
      <c r="E178" s="23" t="str">
        <f>"0,5954"</f>
        <v>0,5954</v>
      </c>
      <c r="F178" s="26" t="s">
        <v>34</v>
      </c>
      <c r="G178" s="23" t="s">
        <v>183</v>
      </c>
      <c r="H178" s="24" t="s">
        <v>151</v>
      </c>
      <c r="I178" s="25" t="s">
        <v>326</v>
      </c>
      <c r="J178" s="25" t="s">
        <v>326</v>
      </c>
      <c r="K178" s="25"/>
      <c r="L178" s="23" t="str">
        <f>"175,0"</f>
        <v>175,0</v>
      </c>
      <c r="M178" s="24" t="str">
        <f>"112,7390"</f>
        <v>112,7390</v>
      </c>
      <c r="N178" s="23" t="s">
        <v>1284</v>
      </c>
    </row>
    <row r="179" spans="1:14" ht="12.75">
      <c r="A179" s="23" t="s">
        <v>1285</v>
      </c>
      <c r="B179" s="23" t="s">
        <v>1891</v>
      </c>
      <c r="C179" s="23" t="s">
        <v>1286</v>
      </c>
      <c r="D179" s="23" t="s">
        <v>1287</v>
      </c>
      <c r="E179" s="23" t="str">
        <f>"0,6037"</f>
        <v>0,6037</v>
      </c>
      <c r="F179" s="23" t="s">
        <v>1288</v>
      </c>
      <c r="G179" s="23" t="s">
        <v>1289</v>
      </c>
      <c r="H179" s="24" t="s">
        <v>24</v>
      </c>
      <c r="I179" s="24" t="s">
        <v>25</v>
      </c>
      <c r="J179" s="24" t="s">
        <v>118</v>
      </c>
      <c r="K179" s="25"/>
      <c r="L179" s="23" t="str">
        <f>"170,0"</f>
        <v>170,0</v>
      </c>
      <c r="M179" s="24" t="str">
        <f>"111,0446"</f>
        <v>111,0446</v>
      </c>
      <c r="N179" s="23"/>
    </row>
    <row r="180" spans="1:14" ht="12.75">
      <c r="A180" s="12" t="s">
        <v>1290</v>
      </c>
      <c r="B180" s="12" t="s">
        <v>1891</v>
      </c>
      <c r="C180" s="12" t="s">
        <v>1291</v>
      </c>
      <c r="D180" s="12" t="s">
        <v>193</v>
      </c>
      <c r="E180" s="12" t="str">
        <f>"0,5910"</f>
        <v>0,5910</v>
      </c>
      <c r="F180" s="12" t="s">
        <v>18</v>
      </c>
      <c r="G180" s="12" t="s">
        <v>19</v>
      </c>
      <c r="H180" s="14" t="s">
        <v>50</v>
      </c>
      <c r="I180" s="14" t="s">
        <v>25</v>
      </c>
      <c r="J180" s="13" t="s">
        <v>51</v>
      </c>
      <c r="K180" s="13"/>
      <c r="L180" s="12" t="str">
        <f>"165,0"</f>
        <v>165,0</v>
      </c>
      <c r="M180" s="14" t="str">
        <f>"106,9740"</f>
        <v>106,9740</v>
      </c>
      <c r="N180" s="12"/>
    </row>
    <row r="182" spans="1:14" ht="15">
      <c r="A182" s="48" t="s">
        <v>206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</row>
    <row r="183" spans="1:14" ht="12.75">
      <c r="A183" s="9" t="s">
        <v>1293</v>
      </c>
      <c r="B183" s="9" t="s">
        <v>1895</v>
      </c>
      <c r="C183" s="9" t="s">
        <v>1294</v>
      </c>
      <c r="D183" s="9" t="s">
        <v>1295</v>
      </c>
      <c r="E183" s="9" t="str">
        <f>"0,5739"</f>
        <v>0,5739</v>
      </c>
      <c r="F183" s="27" t="s">
        <v>34</v>
      </c>
      <c r="G183" s="9" t="s">
        <v>334</v>
      </c>
      <c r="H183" s="11" t="s">
        <v>36</v>
      </c>
      <c r="I183" s="10" t="s">
        <v>42</v>
      </c>
      <c r="J183" s="10" t="s">
        <v>42</v>
      </c>
      <c r="K183" s="10"/>
      <c r="L183" s="9" t="str">
        <f>"207,5"</f>
        <v>207,5</v>
      </c>
      <c r="M183" s="11" t="str">
        <f>"119,0842"</f>
        <v>119,0842</v>
      </c>
      <c r="N183" s="9" t="s">
        <v>648</v>
      </c>
    </row>
    <row r="184" spans="1:14" ht="12.75">
      <c r="A184" s="23" t="s">
        <v>1296</v>
      </c>
      <c r="B184" s="23" t="s">
        <v>1895</v>
      </c>
      <c r="C184" s="23" t="s">
        <v>1297</v>
      </c>
      <c r="D184" s="23" t="s">
        <v>548</v>
      </c>
      <c r="E184" s="23" t="str">
        <f>"0,5795"</f>
        <v>0,5795</v>
      </c>
      <c r="F184" s="23" t="s">
        <v>18</v>
      </c>
      <c r="G184" s="23" t="s">
        <v>19</v>
      </c>
      <c r="H184" s="24" t="s">
        <v>62</v>
      </c>
      <c r="I184" s="24" t="s">
        <v>64</v>
      </c>
      <c r="J184" s="25" t="s">
        <v>36</v>
      </c>
      <c r="K184" s="25"/>
      <c r="L184" s="23" t="str">
        <f>"200,0"</f>
        <v>200,0</v>
      </c>
      <c r="M184" s="24" t="str">
        <f>"115,9000"</f>
        <v>115,9000</v>
      </c>
      <c r="N184" s="23" t="s">
        <v>29</v>
      </c>
    </row>
    <row r="185" spans="1:14" ht="12.75">
      <c r="A185" s="23" t="s">
        <v>1298</v>
      </c>
      <c r="B185" s="23" t="s">
        <v>1891</v>
      </c>
      <c r="C185" s="23" t="s">
        <v>1299</v>
      </c>
      <c r="D185" s="23" t="s">
        <v>1300</v>
      </c>
      <c r="E185" s="23" t="str">
        <f>"0,5698"</f>
        <v>0,5698</v>
      </c>
      <c r="F185" s="26" t="s">
        <v>34</v>
      </c>
      <c r="G185" s="23" t="s">
        <v>421</v>
      </c>
      <c r="H185" s="24" t="s">
        <v>61</v>
      </c>
      <c r="I185" s="24" t="s">
        <v>152</v>
      </c>
      <c r="J185" s="25" t="s">
        <v>62</v>
      </c>
      <c r="K185" s="25"/>
      <c r="L185" s="23" t="str">
        <f>"185,0"</f>
        <v>185,0</v>
      </c>
      <c r="M185" s="24" t="str">
        <f>"105,4130"</f>
        <v>105,4130</v>
      </c>
      <c r="N185" s="23"/>
    </row>
    <row r="186" spans="1:14" ht="12.75">
      <c r="A186" s="23" t="s">
        <v>1301</v>
      </c>
      <c r="B186" s="23" t="s">
        <v>1892</v>
      </c>
      <c r="C186" s="23" t="s">
        <v>1302</v>
      </c>
      <c r="D186" s="23" t="s">
        <v>1303</v>
      </c>
      <c r="E186" s="23" t="str">
        <f>"0,5726"</f>
        <v>0,5726</v>
      </c>
      <c r="F186" s="23" t="s">
        <v>18</v>
      </c>
      <c r="G186" s="23" t="s">
        <v>19</v>
      </c>
      <c r="H186" s="24" t="s">
        <v>25</v>
      </c>
      <c r="I186" s="24" t="s">
        <v>197</v>
      </c>
      <c r="J186" s="24" t="s">
        <v>151</v>
      </c>
      <c r="K186" s="25"/>
      <c r="L186" s="23" t="str">
        <f>"175,0"</f>
        <v>175,0</v>
      </c>
      <c r="M186" s="24" t="str">
        <f>"100,2050"</f>
        <v>100,2050</v>
      </c>
      <c r="N186" s="23" t="s">
        <v>29</v>
      </c>
    </row>
    <row r="187" spans="1:14" ht="12.75">
      <c r="A187" s="23" t="s">
        <v>1304</v>
      </c>
      <c r="B187" s="23" t="s">
        <v>1892</v>
      </c>
      <c r="C187" s="23" t="s">
        <v>720</v>
      </c>
      <c r="D187" s="23" t="s">
        <v>1305</v>
      </c>
      <c r="E187" s="23" t="str">
        <f>"0,5759"</f>
        <v>0,5759</v>
      </c>
      <c r="F187" s="23" t="s">
        <v>34</v>
      </c>
      <c r="G187" s="23" t="s">
        <v>1248</v>
      </c>
      <c r="H187" s="24" t="s">
        <v>197</v>
      </c>
      <c r="I187" s="25" t="s">
        <v>326</v>
      </c>
      <c r="J187" s="25" t="s">
        <v>326</v>
      </c>
      <c r="K187" s="25"/>
      <c r="L187" s="23" t="str">
        <f>"172,5"</f>
        <v>172,5</v>
      </c>
      <c r="M187" s="24" t="str">
        <f>"99,3428"</f>
        <v>99,3428</v>
      </c>
      <c r="N187" s="23" t="s">
        <v>1249</v>
      </c>
    </row>
    <row r="188" spans="1:14" ht="12.75">
      <c r="A188" s="23" t="s">
        <v>1306</v>
      </c>
      <c r="B188" s="23" t="s">
        <v>1895</v>
      </c>
      <c r="C188" s="23" t="s">
        <v>1307</v>
      </c>
      <c r="D188" s="23" t="s">
        <v>548</v>
      </c>
      <c r="E188" s="23" t="str">
        <f>"0,5795"</f>
        <v>0,5795</v>
      </c>
      <c r="F188" s="23" t="s">
        <v>18</v>
      </c>
      <c r="G188" s="23" t="s">
        <v>19</v>
      </c>
      <c r="H188" s="24" t="s">
        <v>62</v>
      </c>
      <c r="I188" s="24" t="s">
        <v>64</v>
      </c>
      <c r="J188" s="25" t="s">
        <v>36</v>
      </c>
      <c r="K188" s="25"/>
      <c r="L188" s="23" t="str">
        <f>"200,0"</f>
        <v>200,0</v>
      </c>
      <c r="M188" s="24" t="str">
        <f>"117,0590"</f>
        <v>117,0590</v>
      </c>
      <c r="N188" s="23"/>
    </row>
    <row r="189" spans="1:14" ht="12.75">
      <c r="A189" s="23" t="s">
        <v>1308</v>
      </c>
      <c r="B189" s="23" t="s">
        <v>1891</v>
      </c>
      <c r="C189" s="23" t="s">
        <v>1309</v>
      </c>
      <c r="D189" s="23" t="s">
        <v>1300</v>
      </c>
      <c r="E189" s="23" t="str">
        <f>"0,5698"</f>
        <v>0,5698</v>
      </c>
      <c r="F189" s="26" t="s">
        <v>34</v>
      </c>
      <c r="G189" s="23" t="s">
        <v>421</v>
      </c>
      <c r="H189" s="24" t="s">
        <v>61</v>
      </c>
      <c r="I189" s="24" t="s">
        <v>152</v>
      </c>
      <c r="J189" s="25" t="s">
        <v>62</v>
      </c>
      <c r="K189" s="25"/>
      <c r="L189" s="23" t="str">
        <f>"185,0"</f>
        <v>185,0</v>
      </c>
      <c r="M189" s="24" t="str">
        <f>"105,4130"</f>
        <v>105,4130</v>
      </c>
      <c r="N189" s="23"/>
    </row>
    <row r="190" spans="1:14" ht="12.75">
      <c r="A190" s="23" t="s">
        <v>1310</v>
      </c>
      <c r="B190" s="23" t="s">
        <v>1891</v>
      </c>
      <c r="C190" s="23" t="s">
        <v>1311</v>
      </c>
      <c r="D190" s="23" t="s">
        <v>1312</v>
      </c>
      <c r="E190" s="23" t="str">
        <f>"0,5772"</f>
        <v>0,5772</v>
      </c>
      <c r="F190" s="23" t="s">
        <v>34</v>
      </c>
      <c r="G190" s="23" t="s">
        <v>997</v>
      </c>
      <c r="H190" s="24" t="s">
        <v>61</v>
      </c>
      <c r="I190" s="25" t="s">
        <v>63</v>
      </c>
      <c r="J190" s="25" t="s">
        <v>63</v>
      </c>
      <c r="K190" s="25"/>
      <c r="L190" s="23" t="str">
        <f>"180,0"</f>
        <v>180,0</v>
      </c>
      <c r="M190" s="24" t="str">
        <f>"104,9350"</f>
        <v>104,9350</v>
      </c>
      <c r="N190" s="23"/>
    </row>
    <row r="191" spans="1:14" ht="12.75">
      <c r="A191" s="23" t="s">
        <v>1313</v>
      </c>
      <c r="B191" s="23" t="s">
        <v>1891</v>
      </c>
      <c r="C191" s="23" t="s">
        <v>1314</v>
      </c>
      <c r="D191" s="23" t="s">
        <v>1315</v>
      </c>
      <c r="E191" s="23" t="str">
        <f>"0,5731"</f>
        <v>0,5731</v>
      </c>
      <c r="F191" s="23" t="s">
        <v>18</v>
      </c>
      <c r="G191" s="23" t="s">
        <v>19</v>
      </c>
      <c r="H191" s="24" t="s">
        <v>61</v>
      </c>
      <c r="I191" s="25" t="s">
        <v>747</v>
      </c>
      <c r="J191" s="25" t="s">
        <v>747</v>
      </c>
      <c r="K191" s="25"/>
      <c r="L191" s="23" t="str">
        <f>"180,0"</f>
        <v>180,0</v>
      </c>
      <c r="M191" s="24" t="str">
        <f>"106,3559"</f>
        <v>106,3559</v>
      </c>
      <c r="N191" s="23"/>
    </row>
    <row r="192" spans="1:14" ht="12.75">
      <c r="A192" s="12" t="s">
        <v>1316</v>
      </c>
      <c r="B192" s="12" t="s">
        <v>1891</v>
      </c>
      <c r="C192" s="12" t="s">
        <v>1317</v>
      </c>
      <c r="D192" s="12" t="s">
        <v>1300</v>
      </c>
      <c r="E192" s="12" t="str">
        <f>"0,5698"</f>
        <v>0,5698</v>
      </c>
      <c r="F192" s="12" t="s">
        <v>18</v>
      </c>
      <c r="G192" s="12" t="s">
        <v>19</v>
      </c>
      <c r="H192" s="14" t="s">
        <v>197</v>
      </c>
      <c r="I192" s="13" t="s">
        <v>61</v>
      </c>
      <c r="J192" s="13" t="s">
        <v>61</v>
      </c>
      <c r="K192" s="13"/>
      <c r="L192" s="12" t="str">
        <f>"172,5"</f>
        <v>172,5</v>
      </c>
      <c r="M192" s="14" t="str">
        <f>"116,3760"</f>
        <v>116,3760</v>
      </c>
      <c r="N192" s="12"/>
    </row>
    <row r="194" spans="1:14" ht="15">
      <c r="A194" s="48" t="s">
        <v>66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</row>
    <row r="195" spans="1:14" ht="12.75">
      <c r="A195" s="9" t="s">
        <v>1318</v>
      </c>
      <c r="B195" s="9" t="s">
        <v>1888</v>
      </c>
      <c r="C195" s="9" t="s">
        <v>1319</v>
      </c>
      <c r="D195" s="9" t="s">
        <v>1320</v>
      </c>
      <c r="E195" s="9" t="str">
        <f>"0,5684"</f>
        <v>0,5684</v>
      </c>
      <c r="F195" s="9" t="s">
        <v>18</v>
      </c>
      <c r="G195" s="9" t="s">
        <v>19</v>
      </c>
      <c r="H195" s="10" t="s">
        <v>23</v>
      </c>
      <c r="I195" s="11" t="s">
        <v>23</v>
      </c>
      <c r="J195" s="10" t="s">
        <v>114</v>
      </c>
      <c r="K195" s="10"/>
      <c r="L195" s="9" t="str">
        <f>"145,0"</f>
        <v>145,0</v>
      </c>
      <c r="M195" s="11" t="str">
        <f>"82,4180"</f>
        <v>82,4180</v>
      </c>
      <c r="N195" s="9" t="s">
        <v>29</v>
      </c>
    </row>
    <row r="196" spans="1:14" ht="12.75">
      <c r="A196" s="23" t="s">
        <v>1321</v>
      </c>
      <c r="B196" s="23" t="s">
        <v>1890</v>
      </c>
      <c r="C196" s="23" t="s">
        <v>1322</v>
      </c>
      <c r="D196" s="23" t="s">
        <v>1323</v>
      </c>
      <c r="E196" s="23" t="str">
        <f>"0,5637"</f>
        <v>0,5637</v>
      </c>
      <c r="F196" s="23" t="s">
        <v>18</v>
      </c>
      <c r="G196" s="23" t="s">
        <v>19</v>
      </c>
      <c r="H196" s="25" t="s">
        <v>118</v>
      </c>
      <c r="I196" s="25" t="s">
        <v>118</v>
      </c>
      <c r="J196" s="25" t="s">
        <v>118</v>
      </c>
      <c r="K196" s="25"/>
      <c r="L196" s="23" t="str">
        <f>"0,0"</f>
        <v>0,0</v>
      </c>
      <c r="M196" s="24" t="str">
        <f>"0,0000"</f>
        <v>0,0000</v>
      </c>
      <c r="N196" s="26" t="s">
        <v>1633</v>
      </c>
    </row>
    <row r="197" spans="1:14" ht="12.75">
      <c r="A197" s="12" t="s">
        <v>1324</v>
      </c>
      <c r="B197" s="12" t="s">
        <v>1891</v>
      </c>
      <c r="C197" s="12" t="s">
        <v>1325</v>
      </c>
      <c r="D197" s="12" t="s">
        <v>1326</v>
      </c>
      <c r="E197" s="12" t="str">
        <f>"0,5689"</f>
        <v>0,5689</v>
      </c>
      <c r="F197" s="12" t="s">
        <v>1327</v>
      </c>
      <c r="G197" s="12" t="s">
        <v>1328</v>
      </c>
      <c r="H197" s="14" t="s">
        <v>50</v>
      </c>
      <c r="I197" s="13" t="s">
        <v>51</v>
      </c>
      <c r="J197" s="13" t="s">
        <v>51</v>
      </c>
      <c r="K197" s="13"/>
      <c r="L197" s="12" t="str">
        <f>"162,5"</f>
        <v>162,5</v>
      </c>
      <c r="M197" s="14" t="str">
        <f>"126,2816"</f>
        <v>126,2816</v>
      </c>
      <c r="N197" s="12"/>
    </row>
    <row r="199" spans="1:14" ht="15">
      <c r="A199" s="48" t="s">
        <v>1329</v>
      </c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</row>
    <row r="200" spans="1:14" ht="12.75">
      <c r="A200" s="6" t="s">
        <v>1331</v>
      </c>
      <c r="B200" s="6" t="s">
        <v>1895</v>
      </c>
      <c r="C200" s="6" t="s">
        <v>1332</v>
      </c>
      <c r="D200" s="6" t="s">
        <v>1333</v>
      </c>
      <c r="E200" s="6" t="str">
        <f>"0,5576"</f>
        <v>0,5576</v>
      </c>
      <c r="F200" s="6" t="s">
        <v>18</v>
      </c>
      <c r="G200" s="6" t="s">
        <v>19</v>
      </c>
      <c r="H200" s="8" t="s">
        <v>20</v>
      </c>
      <c r="I200" s="7" t="s">
        <v>37</v>
      </c>
      <c r="J200" s="7" t="s">
        <v>21</v>
      </c>
      <c r="K200" s="8"/>
      <c r="L200" s="6" t="str">
        <f>"225,0"</f>
        <v>225,0</v>
      </c>
      <c r="M200" s="7" t="str">
        <f>"125,4600"</f>
        <v>125,4600</v>
      </c>
      <c r="N200" s="6"/>
    </row>
    <row r="202" ht="15">
      <c r="F202" s="15" t="s">
        <v>74</v>
      </c>
    </row>
    <row r="203" ht="15">
      <c r="F203" s="15" t="s">
        <v>75</v>
      </c>
    </row>
    <row r="204" ht="15">
      <c r="F204" s="15" t="s">
        <v>76</v>
      </c>
    </row>
    <row r="205" ht="15">
      <c r="F205" s="15" t="s">
        <v>77</v>
      </c>
    </row>
    <row r="206" ht="15">
      <c r="F206" s="15" t="s">
        <v>77</v>
      </c>
    </row>
    <row r="207" ht="15">
      <c r="F207" s="15" t="s">
        <v>78</v>
      </c>
    </row>
    <row r="208" ht="15">
      <c r="F208" s="15"/>
    </row>
    <row r="210" spans="1:3" ht="18">
      <c r="A210" s="16" t="s">
        <v>79</v>
      </c>
      <c r="B210" s="16"/>
      <c r="C210" s="16"/>
    </row>
    <row r="211" spans="1:3" ht="15">
      <c r="A211" s="17" t="s">
        <v>223</v>
      </c>
      <c r="B211" s="17"/>
      <c r="C211" s="17"/>
    </row>
    <row r="212" spans="1:3" ht="14.25">
      <c r="A212" s="19"/>
      <c r="B212" s="19"/>
      <c r="C212" s="20" t="s">
        <v>81</v>
      </c>
    </row>
    <row r="213" spans="1:6" ht="15">
      <c r="A213" s="21" t="s">
        <v>82</v>
      </c>
      <c r="B213" s="21"/>
      <c r="C213" s="21" t="s">
        <v>83</v>
      </c>
      <c r="D213" s="21" t="s">
        <v>84</v>
      </c>
      <c r="E213" s="21" t="s">
        <v>85</v>
      </c>
      <c r="F213" s="21" t="s">
        <v>86</v>
      </c>
    </row>
    <row r="214" spans="1:6" ht="12.75">
      <c r="A214" s="18" t="s">
        <v>880</v>
      </c>
      <c r="B214" s="18"/>
      <c r="C214" s="5" t="s">
        <v>81</v>
      </c>
      <c r="D214" s="5" t="s">
        <v>225</v>
      </c>
      <c r="E214" s="5" t="s">
        <v>87</v>
      </c>
      <c r="F214" s="22" t="s">
        <v>1334</v>
      </c>
    </row>
    <row r="215" spans="1:6" ht="12.75">
      <c r="A215" s="18" t="s">
        <v>913</v>
      </c>
      <c r="B215" s="18"/>
      <c r="C215" s="5" t="s">
        <v>81</v>
      </c>
      <c r="D215" s="5" t="s">
        <v>125</v>
      </c>
      <c r="E215" s="5" t="s">
        <v>576</v>
      </c>
      <c r="F215" s="22" t="s">
        <v>1335</v>
      </c>
    </row>
    <row r="216" spans="1:6" ht="12.75">
      <c r="A216" s="18" t="s">
        <v>888</v>
      </c>
      <c r="B216" s="18"/>
      <c r="C216" s="5" t="s">
        <v>81</v>
      </c>
      <c r="D216" s="5" t="s">
        <v>224</v>
      </c>
      <c r="E216" s="5" t="s">
        <v>117</v>
      </c>
      <c r="F216" s="22" t="s">
        <v>1336</v>
      </c>
    </row>
    <row r="219" spans="1:3" ht="15">
      <c r="A219" s="17" t="s">
        <v>80</v>
      </c>
      <c r="B219" s="17"/>
      <c r="C219" s="17"/>
    </row>
    <row r="221" spans="1:3" ht="14.25">
      <c r="A221" s="19"/>
      <c r="B221" s="19"/>
      <c r="C221" s="20" t="s">
        <v>226</v>
      </c>
    </row>
    <row r="222" spans="1:6" ht="15">
      <c r="A222" s="21" t="s">
        <v>82</v>
      </c>
      <c r="B222" s="21"/>
      <c r="C222" s="21" t="s">
        <v>83</v>
      </c>
      <c r="D222" s="21" t="s">
        <v>84</v>
      </c>
      <c r="E222" s="21" t="s">
        <v>85</v>
      </c>
      <c r="F222" s="21" t="s">
        <v>86</v>
      </c>
    </row>
    <row r="223" spans="1:6" ht="12.75">
      <c r="A223" s="18" t="s">
        <v>1083</v>
      </c>
      <c r="B223" s="18"/>
      <c r="C223" s="5" t="s">
        <v>227</v>
      </c>
      <c r="D223" s="5" t="s">
        <v>232</v>
      </c>
      <c r="E223" s="5" t="s">
        <v>61</v>
      </c>
      <c r="F223" s="22" t="s">
        <v>1337</v>
      </c>
    </row>
    <row r="225" spans="1:3" ht="14.25">
      <c r="A225" s="19"/>
      <c r="B225" s="19"/>
      <c r="C225" s="20" t="s">
        <v>81</v>
      </c>
    </row>
    <row r="226" spans="1:6" ht="15">
      <c r="A226" s="21" t="s">
        <v>82</v>
      </c>
      <c r="B226" s="21"/>
      <c r="C226" s="21" t="s">
        <v>83</v>
      </c>
      <c r="D226" s="21" t="s">
        <v>84</v>
      </c>
      <c r="E226" s="21" t="s">
        <v>85</v>
      </c>
      <c r="F226" s="21" t="s">
        <v>86</v>
      </c>
    </row>
    <row r="227" spans="1:6" ht="12.75">
      <c r="A227" s="18" t="s">
        <v>1330</v>
      </c>
      <c r="B227" s="18"/>
      <c r="C227" s="5" t="s">
        <v>81</v>
      </c>
      <c r="D227" s="5" t="s">
        <v>921</v>
      </c>
      <c r="E227" s="5" t="s">
        <v>21</v>
      </c>
      <c r="F227" s="22" t="s">
        <v>1338</v>
      </c>
    </row>
    <row r="228" spans="1:6" ht="12.75">
      <c r="A228" s="18" t="s">
        <v>1175</v>
      </c>
      <c r="B228" s="18"/>
      <c r="C228" s="5" t="s">
        <v>81</v>
      </c>
      <c r="D228" s="5" t="s">
        <v>91</v>
      </c>
      <c r="E228" s="5" t="s">
        <v>64</v>
      </c>
      <c r="F228" s="22" t="s">
        <v>1339</v>
      </c>
    </row>
    <row r="229" spans="1:6" ht="12.75">
      <c r="A229" s="18" t="s">
        <v>1292</v>
      </c>
      <c r="B229" s="18"/>
      <c r="C229" s="5" t="s">
        <v>81</v>
      </c>
      <c r="D229" s="5" t="s">
        <v>109</v>
      </c>
      <c r="E229" s="5" t="s">
        <v>36</v>
      </c>
      <c r="F229" s="22" t="s">
        <v>1340</v>
      </c>
    </row>
    <row r="231" spans="1:3" ht="14.25">
      <c r="A231" s="19"/>
      <c r="B231" s="19"/>
      <c r="C231" s="20" t="s">
        <v>233</v>
      </c>
    </row>
    <row r="232" spans="1:6" ht="15">
      <c r="A232" s="21" t="s">
        <v>82</v>
      </c>
      <c r="B232" s="21"/>
      <c r="C232" s="21" t="s">
        <v>83</v>
      </c>
      <c r="D232" s="21" t="s">
        <v>84</v>
      </c>
      <c r="E232" s="21" t="s">
        <v>85</v>
      </c>
      <c r="F232" s="21" t="s">
        <v>86</v>
      </c>
    </row>
    <row r="233" spans="1:6" ht="12.75">
      <c r="A233" s="18" t="s">
        <v>1168</v>
      </c>
      <c r="B233" s="18"/>
      <c r="C233" s="5" t="s">
        <v>1341</v>
      </c>
      <c r="D233" s="5" t="s">
        <v>232</v>
      </c>
      <c r="E233" s="5" t="s">
        <v>188</v>
      </c>
      <c r="F233" s="22" t="s">
        <v>1342</v>
      </c>
    </row>
    <row r="234" spans="1:6" ht="12.75">
      <c r="A234" s="18" t="s">
        <v>1226</v>
      </c>
      <c r="B234" s="18"/>
      <c r="C234" s="5" t="s">
        <v>235</v>
      </c>
      <c r="D234" s="5" t="s">
        <v>91</v>
      </c>
      <c r="E234" s="5" t="s">
        <v>118</v>
      </c>
      <c r="F234" s="22" t="s">
        <v>1343</v>
      </c>
    </row>
    <row r="235" spans="1:6" ht="12.75">
      <c r="A235" s="18" t="s">
        <v>1230</v>
      </c>
      <c r="B235" s="18"/>
      <c r="C235" s="5" t="s">
        <v>235</v>
      </c>
      <c r="D235" s="5" t="s">
        <v>91</v>
      </c>
      <c r="E235" s="5" t="s">
        <v>118</v>
      </c>
      <c r="F235" s="22" t="s">
        <v>1344</v>
      </c>
    </row>
  </sheetData>
  <sheetProtection/>
  <mergeCells count="29">
    <mergeCell ref="A199:N199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B3:B4"/>
    <mergeCell ref="N3:N4"/>
    <mergeCell ref="A1:N2"/>
    <mergeCell ref="A26:N26"/>
    <mergeCell ref="A19:N19"/>
    <mergeCell ref="A10:N10"/>
    <mergeCell ref="A5:N5"/>
    <mergeCell ref="A52:N52"/>
    <mergeCell ref="A47:N47"/>
    <mergeCell ref="A44:N44"/>
    <mergeCell ref="A39:N39"/>
    <mergeCell ref="A30:N30"/>
    <mergeCell ref="A66:N66"/>
    <mergeCell ref="A83:N83"/>
    <mergeCell ref="A106:N106"/>
    <mergeCell ref="A141:N141"/>
    <mergeCell ref="A164:N164"/>
    <mergeCell ref="A182:N182"/>
    <mergeCell ref="A194:N19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80" zoomScaleNormal="80" zoomScalePageLayoutView="0" workbookViewId="0" topLeftCell="A1">
      <selection activeCell="A3" sqref="A3:A4"/>
    </sheetView>
  </sheetViews>
  <sheetFormatPr defaultColWidth="9.00390625" defaultRowHeight="12.75"/>
  <cols>
    <col min="1" max="1" width="26.00390625" style="5" bestFit="1" customWidth="1"/>
    <col min="2" max="2" width="16.625" style="5" customWidth="1"/>
    <col min="3" max="3" width="29.75390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2.75390625" style="5" bestFit="1" customWidth="1"/>
    <col min="8" max="10" width="5.625" style="4" bestFit="1" customWidth="1"/>
    <col min="11" max="11" width="4.875" style="4" bestFit="1" customWidth="1"/>
    <col min="12" max="12" width="11.375" style="5" customWidth="1"/>
    <col min="13" max="13" width="8.625" style="4" bestFit="1" customWidth="1"/>
    <col min="14" max="14" width="15.875" style="5" bestFit="1" customWidth="1"/>
    <col min="15" max="16384" width="9.125" style="4" customWidth="1"/>
  </cols>
  <sheetData>
    <row r="1" spans="1:14" s="3" customFormat="1" ht="28.5" customHeight="1">
      <c r="A1" s="38" t="s">
        <v>1898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2</v>
      </c>
      <c r="I3" s="30"/>
      <c r="J3" s="30"/>
      <c r="K3" s="30"/>
      <c r="L3" s="30" t="s">
        <v>433</v>
      </c>
      <c r="M3" s="30" t="s">
        <v>6</v>
      </c>
      <c r="N3" s="32" t="s">
        <v>5</v>
      </c>
    </row>
    <row r="4" spans="1:14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31"/>
      <c r="M4" s="31"/>
      <c r="N4" s="33"/>
    </row>
    <row r="5" spans="1:14" ht="15">
      <c r="A5" s="49" t="s">
        <v>103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6" t="s">
        <v>1345</v>
      </c>
      <c r="B6" s="6" t="s">
        <v>1897</v>
      </c>
      <c r="C6" s="6" t="s">
        <v>1346</v>
      </c>
      <c r="D6" s="6" t="s">
        <v>1347</v>
      </c>
      <c r="E6" s="6" t="str">
        <f>"1,1149"</f>
        <v>1,1149</v>
      </c>
      <c r="F6" s="6" t="s">
        <v>1187</v>
      </c>
      <c r="G6" s="6" t="s">
        <v>1188</v>
      </c>
      <c r="H6" s="7" t="s">
        <v>90</v>
      </c>
      <c r="I6" s="7" t="s">
        <v>222</v>
      </c>
      <c r="J6" s="8" t="s">
        <v>254</v>
      </c>
      <c r="K6" s="8"/>
      <c r="L6" s="6" t="str">
        <f>"115,0"</f>
        <v>115,0</v>
      </c>
      <c r="M6" s="7" t="str">
        <f>"128,2135"</f>
        <v>128,2135</v>
      </c>
      <c r="N6" s="6" t="s">
        <v>1348</v>
      </c>
    </row>
    <row r="8" spans="1:14" ht="15">
      <c r="A8" s="48" t="s">
        <v>155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2.75">
      <c r="A9" s="9" t="s">
        <v>1349</v>
      </c>
      <c r="B9" s="9" t="s">
        <v>1892</v>
      </c>
      <c r="C9" s="9" t="s">
        <v>1350</v>
      </c>
      <c r="D9" s="9" t="s">
        <v>1351</v>
      </c>
      <c r="E9" s="9" t="str">
        <f>"0,6421"</f>
        <v>0,6421</v>
      </c>
      <c r="F9" s="9" t="s">
        <v>18</v>
      </c>
      <c r="G9" s="9" t="s">
        <v>19</v>
      </c>
      <c r="H9" s="11" t="s">
        <v>198</v>
      </c>
      <c r="I9" s="11" t="s">
        <v>326</v>
      </c>
      <c r="J9" s="10" t="s">
        <v>177</v>
      </c>
      <c r="K9" s="10"/>
      <c r="L9" s="9" t="str">
        <f>"182,5"</f>
        <v>182,5</v>
      </c>
      <c r="M9" s="11" t="str">
        <f>"117,1832"</f>
        <v>117,1832</v>
      </c>
      <c r="N9" s="9" t="s">
        <v>29</v>
      </c>
    </row>
    <row r="10" spans="1:14" ht="12.75">
      <c r="A10" s="23" t="s">
        <v>1352</v>
      </c>
      <c r="B10" s="23" t="s">
        <v>1890</v>
      </c>
      <c r="C10" s="23" t="s">
        <v>1353</v>
      </c>
      <c r="D10" s="23" t="s">
        <v>1354</v>
      </c>
      <c r="E10" s="23" t="str">
        <f>"0,6491"</f>
        <v>0,6491</v>
      </c>
      <c r="F10" s="23" t="s">
        <v>18</v>
      </c>
      <c r="G10" s="23" t="s">
        <v>19</v>
      </c>
      <c r="H10" s="25" t="s">
        <v>20</v>
      </c>
      <c r="I10" s="25" t="s">
        <v>20</v>
      </c>
      <c r="J10" s="25" t="s">
        <v>20</v>
      </c>
      <c r="K10" s="25"/>
      <c r="L10" s="23" t="str">
        <f>"0,0"</f>
        <v>0,0</v>
      </c>
      <c r="M10" s="24" t="str">
        <f>"0,0000"</f>
        <v>0,0000</v>
      </c>
      <c r="N10" s="23" t="s">
        <v>1355</v>
      </c>
    </row>
    <row r="11" spans="1:14" ht="12.75">
      <c r="A11" s="23" t="s">
        <v>1352</v>
      </c>
      <c r="B11" s="23" t="s">
        <v>1890</v>
      </c>
      <c r="C11" s="23" t="s">
        <v>1356</v>
      </c>
      <c r="D11" s="23" t="s">
        <v>1354</v>
      </c>
      <c r="E11" s="23" t="str">
        <f>"0,6491"</f>
        <v>0,6491</v>
      </c>
      <c r="F11" s="23" t="s">
        <v>18</v>
      </c>
      <c r="G11" s="23" t="s">
        <v>19</v>
      </c>
      <c r="H11" s="25" t="s">
        <v>20</v>
      </c>
      <c r="I11" s="25" t="s">
        <v>20</v>
      </c>
      <c r="J11" s="25" t="s">
        <v>20</v>
      </c>
      <c r="K11" s="25"/>
      <c r="L11" s="23" t="str">
        <f>"0,0"</f>
        <v>0,0</v>
      </c>
      <c r="M11" s="24" t="str">
        <f>"0,0000"</f>
        <v>0,0000</v>
      </c>
      <c r="N11" s="23" t="s">
        <v>1355</v>
      </c>
    </row>
    <row r="12" spans="1:14" ht="12.75">
      <c r="A12" s="12" t="s">
        <v>1357</v>
      </c>
      <c r="B12" s="12" t="s">
        <v>1895</v>
      </c>
      <c r="C12" s="12" t="s">
        <v>1358</v>
      </c>
      <c r="D12" s="12" t="s">
        <v>1114</v>
      </c>
      <c r="E12" s="12" t="str">
        <f>"0,6406"</f>
        <v>0,6406</v>
      </c>
      <c r="F12" s="12" t="s">
        <v>58</v>
      </c>
      <c r="G12" s="12" t="s">
        <v>1359</v>
      </c>
      <c r="H12" s="14" t="s">
        <v>152</v>
      </c>
      <c r="I12" s="14" t="s">
        <v>63</v>
      </c>
      <c r="J12" s="13" t="s">
        <v>36</v>
      </c>
      <c r="K12" s="13"/>
      <c r="L12" s="12" t="str">
        <f>"195,0"</f>
        <v>195,0</v>
      </c>
      <c r="M12" s="14" t="str">
        <f>"133,4114"</f>
        <v>133,4114</v>
      </c>
      <c r="N12" s="12" t="s">
        <v>29</v>
      </c>
    </row>
    <row r="14" spans="1:14" ht="15">
      <c r="A14" s="48" t="s">
        <v>30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2.75">
      <c r="A15" s="9" t="s">
        <v>1361</v>
      </c>
      <c r="B15" s="9" t="s">
        <v>1897</v>
      </c>
      <c r="C15" s="9" t="s">
        <v>1362</v>
      </c>
      <c r="D15" s="9" t="s">
        <v>551</v>
      </c>
      <c r="E15" s="9" t="str">
        <f>"0,6186"</f>
        <v>0,6186</v>
      </c>
      <c r="F15" s="9" t="s">
        <v>34</v>
      </c>
      <c r="G15" s="9" t="s">
        <v>372</v>
      </c>
      <c r="H15" s="11" t="s">
        <v>49</v>
      </c>
      <c r="I15" s="11" t="s">
        <v>444</v>
      </c>
      <c r="J15" s="10" t="s">
        <v>52</v>
      </c>
      <c r="K15" s="10"/>
      <c r="L15" s="9" t="str">
        <f>"262,5"</f>
        <v>262,5</v>
      </c>
      <c r="M15" s="11" t="str">
        <f>"162,3825"</f>
        <v>162,3825</v>
      </c>
      <c r="N15" s="9"/>
    </row>
    <row r="16" spans="1:14" ht="12.75">
      <c r="A16" s="23" t="s">
        <v>1363</v>
      </c>
      <c r="B16" s="23" t="s">
        <v>1892</v>
      </c>
      <c r="C16" s="23" t="s">
        <v>1364</v>
      </c>
      <c r="D16" s="23" t="s">
        <v>439</v>
      </c>
      <c r="E16" s="23" t="str">
        <f>"0,6118"</f>
        <v>0,6118</v>
      </c>
      <c r="F16" s="23" t="s">
        <v>18</v>
      </c>
      <c r="G16" s="23" t="s">
        <v>19</v>
      </c>
      <c r="H16" s="25" t="s">
        <v>62</v>
      </c>
      <c r="I16" s="24" t="s">
        <v>62</v>
      </c>
      <c r="J16" s="25" t="s">
        <v>64</v>
      </c>
      <c r="K16" s="25"/>
      <c r="L16" s="23" t="str">
        <f>"190,0"</f>
        <v>190,0</v>
      </c>
      <c r="M16" s="24" t="str">
        <f>"116,2420"</f>
        <v>116,2420</v>
      </c>
      <c r="N16" s="23"/>
    </row>
    <row r="17" spans="1:14" ht="12.75">
      <c r="A17" s="12" t="s">
        <v>1365</v>
      </c>
      <c r="B17" s="12" t="s">
        <v>1891</v>
      </c>
      <c r="C17" s="12" t="s">
        <v>1366</v>
      </c>
      <c r="D17" s="12" t="s">
        <v>1367</v>
      </c>
      <c r="E17" s="12" t="str">
        <f>"0,6232"</f>
        <v>0,6232</v>
      </c>
      <c r="F17" s="12" t="s">
        <v>18</v>
      </c>
      <c r="G17" s="12" t="s">
        <v>19</v>
      </c>
      <c r="H17" s="13" t="s">
        <v>24</v>
      </c>
      <c r="I17" s="14" t="s">
        <v>24</v>
      </c>
      <c r="J17" s="14" t="s">
        <v>115</v>
      </c>
      <c r="K17" s="13"/>
      <c r="L17" s="12" t="str">
        <f>"160,0"</f>
        <v>160,0</v>
      </c>
      <c r="M17" s="14" t="str">
        <f>"150,6648"</f>
        <v>150,6648</v>
      </c>
      <c r="N17" s="12" t="s">
        <v>29</v>
      </c>
    </row>
    <row r="19" spans="1:14" ht="15">
      <c r="A19" s="48" t="s">
        <v>45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2.75">
      <c r="A20" s="6" t="s">
        <v>1368</v>
      </c>
      <c r="B20" s="6" t="s">
        <v>1891</v>
      </c>
      <c r="C20" s="6" t="s">
        <v>1369</v>
      </c>
      <c r="D20" s="6" t="s">
        <v>1370</v>
      </c>
      <c r="E20" s="6" t="str">
        <f>"0,6002"</f>
        <v>0,6002</v>
      </c>
      <c r="F20" s="6" t="s">
        <v>18</v>
      </c>
      <c r="G20" s="6" t="s">
        <v>1371</v>
      </c>
      <c r="H20" s="8" t="s">
        <v>321</v>
      </c>
      <c r="I20" s="7" t="s">
        <v>321</v>
      </c>
      <c r="J20" s="8" t="s">
        <v>42</v>
      </c>
      <c r="K20" s="8"/>
      <c r="L20" s="6" t="str">
        <f>"205,0"</f>
        <v>205,0</v>
      </c>
      <c r="M20" s="7" t="str">
        <f>"126,8553"</f>
        <v>126,8553</v>
      </c>
      <c r="N20" s="6" t="s">
        <v>29</v>
      </c>
    </row>
    <row r="22" spans="1:14" ht="15">
      <c r="A22" s="48" t="s">
        <v>206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12.75">
      <c r="A23" s="6" t="s">
        <v>1372</v>
      </c>
      <c r="B23" s="6" t="s">
        <v>1890</v>
      </c>
      <c r="C23" s="6" t="s">
        <v>1373</v>
      </c>
      <c r="D23" s="6" t="s">
        <v>1374</v>
      </c>
      <c r="E23" s="6" t="str">
        <f>"0,5743"</f>
        <v>0,5743</v>
      </c>
      <c r="F23" s="6" t="s">
        <v>34</v>
      </c>
      <c r="G23" s="6" t="s">
        <v>1375</v>
      </c>
      <c r="H23" s="8" t="s">
        <v>22</v>
      </c>
      <c r="I23" s="8" t="s">
        <v>49</v>
      </c>
      <c r="J23" s="8" t="s">
        <v>49</v>
      </c>
      <c r="K23" s="8"/>
      <c r="L23" s="6" t="str">
        <f>"0,0"</f>
        <v>0,0</v>
      </c>
      <c r="M23" s="7" t="str">
        <f>"0,0000"</f>
        <v>0,0000</v>
      </c>
      <c r="N23" s="6" t="s">
        <v>29</v>
      </c>
    </row>
    <row r="25" spans="1:14" ht="15">
      <c r="A25" s="48" t="s">
        <v>66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12.75">
      <c r="A26" s="6" t="s">
        <v>1324</v>
      </c>
      <c r="B26" s="6" t="s">
        <v>1891</v>
      </c>
      <c r="C26" s="6" t="s">
        <v>1325</v>
      </c>
      <c r="D26" s="6" t="s">
        <v>1326</v>
      </c>
      <c r="E26" s="6" t="str">
        <f>"0,5689"</f>
        <v>0,5689</v>
      </c>
      <c r="F26" s="6" t="s">
        <v>1327</v>
      </c>
      <c r="G26" s="6" t="s">
        <v>1328</v>
      </c>
      <c r="H26" s="7" t="s">
        <v>177</v>
      </c>
      <c r="I26" s="7" t="s">
        <v>63</v>
      </c>
      <c r="J26" s="7" t="s">
        <v>64</v>
      </c>
      <c r="K26" s="8"/>
      <c r="L26" s="6" t="str">
        <f>"200,0"</f>
        <v>200,0</v>
      </c>
      <c r="M26" s="7" t="str">
        <f>"155,4235"</f>
        <v>155,4235</v>
      </c>
      <c r="N26" s="6"/>
    </row>
    <row r="28" ht="15">
      <c r="F28" s="15" t="s">
        <v>74</v>
      </c>
    </row>
    <row r="29" ht="15">
      <c r="F29" s="15" t="s">
        <v>75</v>
      </c>
    </row>
    <row r="30" ht="15">
      <c r="F30" s="15" t="s">
        <v>76</v>
      </c>
    </row>
    <row r="31" ht="15">
      <c r="F31" s="15" t="s">
        <v>77</v>
      </c>
    </row>
    <row r="32" ht="15">
      <c r="F32" s="15" t="s">
        <v>77</v>
      </c>
    </row>
    <row r="33" ht="15">
      <c r="F33" s="15" t="s">
        <v>78</v>
      </c>
    </row>
    <row r="34" ht="15">
      <c r="F34" s="15"/>
    </row>
    <row r="36" spans="1:3" ht="18">
      <c r="A36" s="16" t="s">
        <v>79</v>
      </c>
      <c r="B36" s="16"/>
      <c r="C36" s="16"/>
    </row>
    <row r="37" spans="1:3" ht="15">
      <c r="A37" s="17" t="s">
        <v>80</v>
      </c>
      <c r="B37" s="17"/>
      <c r="C37" s="17"/>
    </row>
    <row r="38" spans="1:3" ht="14.25">
      <c r="A38" s="19"/>
      <c r="B38" s="19"/>
      <c r="C38" s="20" t="s">
        <v>81</v>
      </c>
    </row>
    <row r="39" spans="1:6" ht="15">
      <c r="A39" s="21" t="s">
        <v>82</v>
      </c>
      <c r="B39" s="21"/>
      <c r="C39" s="21" t="s">
        <v>83</v>
      </c>
      <c r="D39" s="21" t="s">
        <v>84</v>
      </c>
      <c r="E39" s="21" t="s">
        <v>85</v>
      </c>
      <c r="F39" s="21" t="s">
        <v>86</v>
      </c>
    </row>
    <row r="40" spans="1:6" ht="12.75">
      <c r="A40" s="18" t="s">
        <v>1360</v>
      </c>
      <c r="B40" s="18"/>
      <c r="C40" s="5" t="s">
        <v>81</v>
      </c>
      <c r="D40" s="5" t="s">
        <v>91</v>
      </c>
      <c r="E40" s="5" t="s">
        <v>444</v>
      </c>
      <c r="F40" s="22" t="s">
        <v>1376</v>
      </c>
    </row>
  </sheetData>
  <sheetProtection/>
  <mergeCells count="18">
    <mergeCell ref="A22:N22"/>
    <mergeCell ref="A19:N19"/>
    <mergeCell ref="A14:N14"/>
    <mergeCell ref="A8:N8"/>
    <mergeCell ref="A5:N5"/>
    <mergeCell ref="A1:N2"/>
    <mergeCell ref="B3:B4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25:N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="80" zoomScaleNormal="80"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75390625" style="5" customWidth="1"/>
    <col min="3" max="3" width="22.87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27.25390625" style="5" bestFit="1" customWidth="1"/>
    <col min="8" max="10" width="5.625" style="4" bestFit="1" customWidth="1"/>
    <col min="11" max="11" width="4.875" style="4" bestFit="1" customWidth="1"/>
    <col min="12" max="12" width="11.25390625" style="5" customWidth="1"/>
    <col min="13" max="13" width="8.625" style="4" bestFit="1" customWidth="1"/>
    <col min="14" max="14" width="18.125" style="5" bestFit="1" customWidth="1"/>
    <col min="15" max="16384" width="9.125" style="4" customWidth="1"/>
  </cols>
  <sheetData>
    <row r="1" spans="1:14" s="3" customFormat="1" ht="28.5" customHeight="1">
      <c r="A1" s="38" t="s">
        <v>1631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2</v>
      </c>
      <c r="I3" s="30"/>
      <c r="J3" s="30"/>
      <c r="K3" s="30"/>
      <c r="L3" s="30" t="s">
        <v>433</v>
      </c>
      <c r="M3" s="30" t="s">
        <v>6</v>
      </c>
      <c r="N3" s="32" t="s">
        <v>5</v>
      </c>
    </row>
    <row r="4" spans="1:14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31"/>
      <c r="M4" s="31"/>
      <c r="N4" s="33"/>
    </row>
    <row r="5" spans="1:14" ht="15">
      <c r="A5" s="49" t="s">
        <v>128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6" t="s">
        <v>1377</v>
      </c>
      <c r="B6" s="6" t="s">
        <v>1895</v>
      </c>
      <c r="C6" s="6" t="s">
        <v>1378</v>
      </c>
      <c r="D6" s="6" t="s">
        <v>993</v>
      </c>
      <c r="E6" s="6" t="str">
        <f>"0,7179"</f>
        <v>0,7179</v>
      </c>
      <c r="F6" s="6" t="s">
        <v>18</v>
      </c>
      <c r="G6" s="6" t="s">
        <v>19</v>
      </c>
      <c r="H6" s="7" t="s">
        <v>62</v>
      </c>
      <c r="I6" s="8" t="s">
        <v>64</v>
      </c>
      <c r="J6" s="8" t="s">
        <v>64</v>
      </c>
      <c r="K6" s="8"/>
      <c r="L6" s="6" t="str">
        <f>"190,0"</f>
        <v>190,0</v>
      </c>
      <c r="M6" s="7" t="str">
        <f>"136,4010"</f>
        <v>136,4010</v>
      </c>
      <c r="N6" s="6" t="s">
        <v>1001</v>
      </c>
    </row>
    <row r="8" spans="1:14" ht="15">
      <c r="A8" s="48" t="s">
        <v>45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2.75">
      <c r="A9" s="6" t="s">
        <v>1379</v>
      </c>
      <c r="B9" s="6" t="s">
        <v>1895</v>
      </c>
      <c r="C9" s="6" t="s">
        <v>1380</v>
      </c>
      <c r="D9" s="6" t="s">
        <v>1381</v>
      </c>
      <c r="E9" s="6" t="str">
        <f>"0,5916"</f>
        <v>0,5916</v>
      </c>
      <c r="F9" s="6" t="s">
        <v>1382</v>
      </c>
      <c r="G9" s="6" t="s">
        <v>1383</v>
      </c>
      <c r="H9" s="7" t="s">
        <v>60</v>
      </c>
      <c r="I9" s="7" t="s">
        <v>22</v>
      </c>
      <c r="J9" s="7" t="s">
        <v>49</v>
      </c>
      <c r="K9" s="8"/>
      <c r="L9" s="6" t="str">
        <f>"250,0"</f>
        <v>250,0</v>
      </c>
      <c r="M9" s="7" t="str">
        <f>"147,9000"</f>
        <v>147,9000</v>
      </c>
      <c r="N9" s="6" t="s">
        <v>1384</v>
      </c>
    </row>
    <row r="11" ht="15">
      <c r="F11" s="15" t="s">
        <v>74</v>
      </c>
    </row>
    <row r="12" ht="15">
      <c r="F12" s="15" t="s">
        <v>75</v>
      </c>
    </row>
    <row r="13" ht="15">
      <c r="F13" s="15" t="s">
        <v>76</v>
      </c>
    </row>
    <row r="14" ht="15">
      <c r="F14" s="15" t="s">
        <v>77</v>
      </c>
    </row>
    <row r="15" ht="15">
      <c r="F15" s="15" t="s">
        <v>77</v>
      </c>
    </row>
    <row r="16" ht="15">
      <c r="F16" s="15" t="s">
        <v>78</v>
      </c>
    </row>
    <row r="17" ht="15">
      <c r="F17" s="15"/>
    </row>
  </sheetData>
  <sheetProtection/>
  <mergeCells count="14">
    <mergeCell ref="L3:L4"/>
    <mergeCell ref="M3:M4"/>
    <mergeCell ref="N3:N4"/>
    <mergeCell ref="A8:N8"/>
    <mergeCell ref="A5:N5"/>
    <mergeCell ref="A1:N2"/>
    <mergeCell ref="B3:B4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6"/>
  <sheetViews>
    <sheetView zoomScale="80" zoomScaleNormal="80"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25390625" style="5" customWidth="1"/>
    <col min="3" max="3" width="29.75390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4.125" style="5" bestFit="1" customWidth="1"/>
    <col min="8" max="11" width="5.625" style="4" bestFit="1" customWidth="1"/>
    <col min="12" max="12" width="11.875" style="5" customWidth="1"/>
    <col min="13" max="13" width="8.625" style="4" bestFit="1" customWidth="1"/>
    <col min="14" max="14" width="26.875" style="5" bestFit="1" customWidth="1"/>
    <col min="15" max="16384" width="9.125" style="4" customWidth="1"/>
  </cols>
  <sheetData>
    <row r="1" spans="1:14" s="3" customFormat="1" ht="28.5" customHeight="1">
      <c r="A1" s="38" t="s">
        <v>1625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3</v>
      </c>
      <c r="I3" s="30"/>
      <c r="J3" s="30"/>
      <c r="K3" s="30"/>
      <c r="L3" s="30" t="s">
        <v>433</v>
      </c>
      <c r="M3" s="30" t="s">
        <v>6</v>
      </c>
      <c r="N3" s="32" t="s">
        <v>5</v>
      </c>
    </row>
    <row r="4" spans="1:14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31"/>
      <c r="M4" s="31"/>
      <c r="N4" s="33"/>
    </row>
    <row r="5" spans="1:14" ht="15">
      <c r="A5" s="49" t="s">
        <v>552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6" t="s">
        <v>1385</v>
      </c>
      <c r="B6" s="6" t="s">
        <v>1891</v>
      </c>
      <c r="C6" s="6" t="s">
        <v>1386</v>
      </c>
      <c r="D6" s="6" t="s">
        <v>1387</v>
      </c>
      <c r="E6" s="6" t="str">
        <f>"1,3428"</f>
        <v>1,3428</v>
      </c>
      <c r="F6" s="6" t="s">
        <v>18</v>
      </c>
      <c r="G6" s="6" t="s">
        <v>19</v>
      </c>
      <c r="H6" s="7" t="s">
        <v>221</v>
      </c>
      <c r="I6" s="7" t="s">
        <v>258</v>
      </c>
      <c r="J6" s="7" t="s">
        <v>222</v>
      </c>
      <c r="K6" s="8"/>
      <c r="L6" s="6" t="str">
        <f>"115,0"</f>
        <v>115,0</v>
      </c>
      <c r="M6" s="7" t="str">
        <f>"154,4220"</f>
        <v>154,4220</v>
      </c>
      <c r="N6" s="6" t="s">
        <v>1388</v>
      </c>
    </row>
    <row r="8" spans="1:14" ht="15">
      <c r="A8" s="48" t="s">
        <v>649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2.75">
      <c r="A9" s="9" t="s">
        <v>838</v>
      </c>
      <c r="B9" s="9" t="s">
        <v>1887</v>
      </c>
      <c r="C9" s="9" t="s">
        <v>839</v>
      </c>
      <c r="D9" s="9" t="s">
        <v>840</v>
      </c>
      <c r="E9" s="9" t="str">
        <f>"1,2578"</f>
        <v>1,2578</v>
      </c>
      <c r="F9" s="9" t="s">
        <v>18</v>
      </c>
      <c r="G9" s="9" t="s">
        <v>19</v>
      </c>
      <c r="H9" s="10" t="s">
        <v>125</v>
      </c>
      <c r="I9" s="11" t="s">
        <v>117</v>
      </c>
      <c r="J9" s="11" t="s">
        <v>87</v>
      </c>
      <c r="K9" s="10"/>
      <c r="L9" s="9" t="str">
        <f>"82,5"</f>
        <v>82,5</v>
      </c>
      <c r="M9" s="11" t="str">
        <f>"103,7685"</f>
        <v>103,7685</v>
      </c>
      <c r="N9" s="9" t="s">
        <v>631</v>
      </c>
    </row>
    <row r="10" spans="1:14" ht="12.75">
      <c r="A10" s="12" t="s">
        <v>1389</v>
      </c>
      <c r="B10" s="12" t="s">
        <v>1890</v>
      </c>
      <c r="C10" s="12" t="s">
        <v>1390</v>
      </c>
      <c r="D10" s="12" t="s">
        <v>1391</v>
      </c>
      <c r="E10" s="12" t="str">
        <f>"1,2541"</f>
        <v>1,2541</v>
      </c>
      <c r="F10" s="12" t="s">
        <v>18</v>
      </c>
      <c r="G10" s="12" t="s">
        <v>19</v>
      </c>
      <c r="H10" s="13" t="s">
        <v>134</v>
      </c>
      <c r="I10" s="13" t="s">
        <v>258</v>
      </c>
      <c r="J10" s="13" t="s">
        <v>254</v>
      </c>
      <c r="K10" s="13"/>
      <c r="L10" s="12" t="str">
        <f>"0,0"</f>
        <v>0,0</v>
      </c>
      <c r="M10" s="14" t="str">
        <f>"0,0000"</f>
        <v>0,0000</v>
      </c>
      <c r="N10" s="12" t="s">
        <v>1392</v>
      </c>
    </row>
    <row r="12" spans="1:14" ht="15">
      <c r="A12" s="48" t="s">
        <v>92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2.75">
      <c r="A13" s="9" t="s">
        <v>1393</v>
      </c>
      <c r="B13" s="9" t="s">
        <v>1892</v>
      </c>
      <c r="C13" s="9" t="s">
        <v>1394</v>
      </c>
      <c r="D13" s="9" t="s">
        <v>1395</v>
      </c>
      <c r="E13" s="9" t="str">
        <f>"1,1985"</f>
        <v>1,1985</v>
      </c>
      <c r="F13" s="9" t="s">
        <v>18</v>
      </c>
      <c r="G13" s="9" t="s">
        <v>19</v>
      </c>
      <c r="H13" s="11" t="s">
        <v>91</v>
      </c>
      <c r="I13" s="11" t="s">
        <v>221</v>
      </c>
      <c r="J13" s="10" t="s">
        <v>90</v>
      </c>
      <c r="K13" s="10"/>
      <c r="L13" s="9" t="str">
        <f>"107,5"</f>
        <v>107,5</v>
      </c>
      <c r="M13" s="11" t="str">
        <f>"128,8388"</f>
        <v>128,8388</v>
      </c>
      <c r="N13" s="9" t="s">
        <v>1396</v>
      </c>
    </row>
    <row r="14" spans="1:14" ht="12.75">
      <c r="A14" s="23" t="s">
        <v>1397</v>
      </c>
      <c r="B14" s="23" t="s">
        <v>1892</v>
      </c>
      <c r="C14" s="23" t="s">
        <v>1398</v>
      </c>
      <c r="D14" s="23" t="s">
        <v>455</v>
      </c>
      <c r="E14" s="23" t="str">
        <f>"1,1766"</f>
        <v>1,1766</v>
      </c>
      <c r="F14" s="23" t="s">
        <v>18</v>
      </c>
      <c r="G14" s="23" t="s">
        <v>19</v>
      </c>
      <c r="H14" s="24" t="s">
        <v>221</v>
      </c>
      <c r="I14" s="24" t="s">
        <v>254</v>
      </c>
      <c r="J14" s="25" t="s">
        <v>101</v>
      </c>
      <c r="K14" s="25"/>
      <c r="L14" s="23" t="str">
        <f>"117,5"</f>
        <v>117,5</v>
      </c>
      <c r="M14" s="24" t="str">
        <f>"138,2505"</f>
        <v>138,2505</v>
      </c>
      <c r="N14" s="23" t="s">
        <v>1399</v>
      </c>
    </row>
    <row r="15" spans="1:14" ht="12.75">
      <c r="A15" s="12" t="s">
        <v>1400</v>
      </c>
      <c r="B15" s="12" t="s">
        <v>1892</v>
      </c>
      <c r="C15" s="12" t="s">
        <v>1401</v>
      </c>
      <c r="D15" s="12" t="s">
        <v>1402</v>
      </c>
      <c r="E15" s="12" t="str">
        <f>"1,1967"</f>
        <v>1,1967</v>
      </c>
      <c r="F15" s="12" t="s">
        <v>18</v>
      </c>
      <c r="G15" s="12" t="s">
        <v>19</v>
      </c>
      <c r="H15" s="14" t="s">
        <v>139</v>
      </c>
      <c r="I15" s="14" t="s">
        <v>90</v>
      </c>
      <c r="J15" s="14" t="s">
        <v>222</v>
      </c>
      <c r="K15" s="13"/>
      <c r="L15" s="12" t="str">
        <f>"115,0"</f>
        <v>115,0</v>
      </c>
      <c r="M15" s="14" t="str">
        <f>"143,5382"</f>
        <v>143,5382</v>
      </c>
      <c r="N15" s="12" t="s">
        <v>119</v>
      </c>
    </row>
    <row r="17" spans="1:14" ht="15">
      <c r="A17" s="48" t="s">
        <v>103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2.75">
      <c r="A18" s="9" t="s">
        <v>1403</v>
      </c>
      <c r="B18" s="9" t="s">
        <v>1888</v>
      </c>
      <c r="C18" s="9" t="s">
        <v>1404</v>
      </c>
      <c r="D18" s="9" t="s">
        <v>571</v>
      </c>
      <c r="E18" s="9" t="str">
        <f>"1,1221"</f>
        <v>1,1221</v>
      </c>
      <c r="F18" s="9" t="s">
        <v>18</v>
      </c>
      <c r="G18" s="9" t="s">
        <v>19</v>
      </c>
      <c r="H18" s="11" t="s">
        <v>134</v>
      </c>
      <c r="I18" s="11" t="s">
        <v>90</v>
      </c>
      <c r="J18" s="10" t="s">
        <v>222</v>
      </c>
      <c r="K18" s="10"/>
      <c r="L18" s="9" t="str">
        <f>"110,0"</f>
        <v>110,0</v>
      </c>
      <c r="M18" s="11" t="str">
        <f>"123,4310"</f>
        <v>123,4310</v>
      </c>
      <c r="N18" s="9" t="s">
        <v>533</v>
      </c>
    </row>
    <row r="19" spans="1:14" ht="12.75">
      <c r="A19" s="23" t="s">
        <v>1406</v>
      </c>
      <c r="B19" s="23" t="s">
        <v>1891</v>
      </c>
      <c r="C19" s="23" t="s">
        <v>1407</v>
      </c>
      <c r="D19" s="23" t="s">
        <v>1408</v>
      </c>
      <c r="E19" s="23" t="str">
        <f>"1,1620"</f>
        <v>1,1620</v>
      </c>
      <c r="F19" s="23" t="s">
        <v>18</v>
      </c>
      <c r="G19" s="23" t="s">
        <v>19</v>
      </c>
      <c r="H19" s="24" t="s">
        <v>96</v>
      </c>
      <c r="I19" s="24" t="s">
        <v>39</v>
      </c>
      <c r="J19" s="25" t="s">
        <v>114</v>
      </c>
      <c r="K19" s="25"/>
      <c r="L19" s="23" t="str">
        <f>"140,0"</f>
        <v>140,0</v>
      </c>
      <c r="M19" s="24" t="str">
        <f>"162,6800"</f>
        <v>162,6800</v>
      </c>
      <c r="N19" s="23" t="s">
        <v>1409</v>
      </c>
    </row>
    <row r="20" spans="1:14" ht="12.75">
      <c r="A20" s="12" t="s">
        <v>1410</v>
      </c>
      <c r="B20" s="12" t="s">
        <v>1888</v>
      </c>
      <c r="C20" s="12" t="s">
        <v>1411</v>
      </c>
      <c r="D20" s="12" t="s">
        <v>1412</v>
      </c>
      <c r="E20" s="12" t="str">
        <f>"1,1371"</f>
        <v>1,1371</v>
      </c>
      <c r="F20" s="12" t="s">
        <v>18</v>
      </c>
      <c r="G20" s="12" t="s">
        <v>19</v>
      </c>
      <c r="H20" s="14" t="s">
        <v>258</v>
      </c>
      <c r="I20" s="13" t="s">
        <v>254</v>
      </c>
      <c r="J20" s="13" t="s">
        <v>100</v>
      </c>
      <c r="K20" s="13"/>
      <c r="L20" s="12" t="str">
        <f>"112,5"</f>
        <v>112,5</v>
      </c>
      <c r="M20" s="14" t="str">
        <f>"127,9237"</f>
        <v>127,9237</v>
      </c>
      <c r="N20" s="12" t="s">
        <v>758</v>
      </c>
    </row>
    <row r="22" spans="1:14" ht="15">
      <c r="A22" s="48" t="s">
        <v>110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12.75">
      <c r="A23" s="9" t="s">
        <v>1413</v>
      </c>
      <c r="B23" s="9" t="s">
        <v>1888</v>
      </c>
      <c r="C23" s="9" t="s">
        <v>1414</v>
      </c>
      <c r="D23" s="9" t="s">
        <v>251</v>
      </c>
      <c r="E23" s="9" t="str">
        <f>"1,0576"</f>
        <v>1,0576</v>
      </c>
      <c r="F23" s="9" t="s">
        <v>34</v>
      </c>
      <c r="G23" s="9" t="s">
        <v>167</v>
      </c>
      <c r="H23" s="11" t="s">
        <v>91</v>
      </c>
      <c r="I23" s="11" t="s">
        <v>134</v>
      </c>
      <c r="J23" s="11" t="s">
        <v>90</v>
      </c>
      <c r="K23" s="10"/>
      <c r="L23" s="9" t="str">
        <f>"110,0"</f>
        <v>110,0</v>
      </c>
      <c r="M23" s="11" t="str">
        <f>"116,3360"</f>
        <v>116,3360</v>
      </c>
      <c r="N23" s="9"/>
    </row>
    <row r="24" spans="1:14" ht="12.75">
      <c r="A24" s="23" t="s">
        <v>1415</v>
      </c>
      <c r="B24" s="23" t="s">
        <v>1889</v>
      </c>
      <c r="C24" s="23" t="s">
        <v>1416</v>
      </c>
      <c r="D24" s="23" t="s">
        <v>1417</v>
      </c>
      <c r="E24" s="23" t="str">
        <f>"1,0779"</f>
        <v>1,0779</v>
      </c>
      <c r="F24" s="23" t="s">
        <v>34</v>
      </c>
      <c r="G24" s="23" t="s">
        <v>767</v>
      </c>
      <c r="H24" s="24" t="s">
        <v>281</v>
      </c>
      <c r="I24" s="24" t="s">
        <v>263</v>
      </c>
      <c r="J24" s="25" t="s">
        <v>91</v>
      </c>
      <c r="K24" s="25"/>
      <c r="L24" s="23" t="str">
        <f>"92,5"</f>
        <v>92,5</v>
      </c>
      <c r="M24" s="24" t="str">
        <f>"99,7058"</f>
        <v>99,7058</v>
      </c>
      <c r="N24" s="23" t="s">
        <v>1418</v>
      </c>
    </row>
    <row r="25" spans="1:14" ht="12.75">
      <c r="A25" s="23" t="s">
        <v>1419</v>
      </c>
      <c r="B25" s="23" t="s">
        <v>1892</v>
      </c>
      <c r="C25" s="23" t="s">
        <v>1317</v>
      </c>
      <c r="D25" s="23" t="s">
        <v>968</v>
      </c>
      <c r="E25" s="23" t="str">
        <f>"1,0339"</f>
        <v>1,0339</v>
      </c>
      <c r="F25" s="23" t="s">
        <v>18</v>
      </c>
      <c r="G25" s="23" t="s">
        <v>19</v>
      </c>
      <c r="H25" s="25" t="s">
        <v>232</v>
      </c>
      <c r="I25" s="24" t="s">
        <v>91</v>
      </c>
      <c r="J25" s="24" t="s">
        <v>90</v>
      </c>
      <c r="K25" s="25"/>
      <c r="L25" s="23" t="str">
        <f>"110,0"</f>
        <v>110,0</v>
      </c>
      <c r="M25" s="24" t="str">
        <f>"134,6551"</f>
        <v>134,6551</v>
      </c>
      <c r="N25" s="23" t="s">
        <v>1420</v>
      </c>
    </row>
    <row r="26" spans="1:14" ht="12.75">
      <c r="A26" s="12" t="s">
        <v>1421</v>
      </c>
      <c r="B26" s="12" t="s">
        <v>1891</v>
      </c>
      <c r="C26" s="12" t="s">
        <v>1237</v>
      </c>
      <c r="D26" s="12" t="s">
        <v>1422</v>
      </c>
      <c r="E26" s="12" t="str">
        <f>"1,0317"</f>
        <v>1,0317</v>
      </c>
      <c r="F26" s="12" t="s">
        <v>18</v>
      </c>
      <c r="G26" s="12" t="s">
        <v>19</v>
      </c>
      <c r="H26" s="14" t="s">
        <v>258</v>
      </c>
      <c r="I26" s="14" t="s">
        <v>254</v>
      </c>
      <c r="J26" s="14" t="s">
        <v>144</v>
      </c>
      <c r="K26" s="13"/>
      <c r="L26" s="12" t="str">
        <f>"122,5"</f>
        <v>122,5</v>
      </c>
      <c r="M26" s="14" t="str">
        <f>"160,2540"</f>
        <v>160,2540</v>
      </c>
      <c r="N26" s="12" t="s">
        <v>758</v>
      </c>
    </row>
    <row r="28" spans="1:14" ht="15">
      <c r="A28" s="48" t="s">
        <v>128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1:14" ht="12.75">
      <c r="A29" s="9" t="s">
        <v>909</v>
      </c>
      <c r="B29" s="9" t="s">
        <v>1887</v>
      </c>
      <c r="C29" s="9" t="s">
        <v>1423</v>
      </c>
      <c r="D29" s="9" t="s">
        <v>1424</v>
      </c>
      <c r="E29" s="9" t="str">
        <f>"0,9958"</f>
        <v>0,9958</v>
      </c>
      <c r="F29" s="9" t="s">
        <v>18</v>
      </c>
      <c r="G29" s="9" t="s">
        <v>19</v>
      </c>
      <c r="H29" s="11" t="s">
        <v>134</v>
      </c>
      <c r="I29" s="11" t="s">
        <v>221</v>
      </c>
      <c r="J29" s="10" t="s">
        <v>90</v>
      </c>
      <c r="K29" s="10"/>
      <c r="L29" s="9" t="str">
        <f>"107,5"</f>
        <v>107,5</v>
      </c>
      <c r="M29" s="11" t="str">
        <f>"107,0485"</f>
        <v>107,0485</v>
      </c>
      <c r="N29" s="9" t="s">
        <v>912</v>
      </c>
    </row>
    <row r="30" spans="1:14" ht="12.75">
      <c r="A30" s="23" t="s">
        <v>1425</v>
      </c>
      <c r="B30" s="23" t="s">
        <v>1887</v>
      </c>
      <c r="C30" s="23" t="s">
        <v>1426</v>
      </c>
      <c r="D30" s="23" t="s">
        <v>713</v>
      </c>
      <c r="E30" s="23" t="str">
        <f>"0,9530"</f>
        <v>0,9530</v>
      </c>
      <c r="F30" s="23" t="s">
        <v>34</v>
      </c>
      <c r="G30" s="23" t="s">
        <v>622</v>
      </c>
      <c r="H30" s="24" t="s">
        <v>281</v>
      </c>
      <c r="I30" s="25" t="s">
        <v>133</v>
      </c>
      <c r="J30" s="24" t="s">
        <v>134</v>
      </c>
      <c r="K30" s="24" t="s">
        <v>90</v>
      </c>
      <c r="L30" s="23" t="str">
        <f>"105,0"</f>
        <v>105,0</v>
      </c>
      <c r="M30" s="24" t="str">
        <f>"100,0650"</f>
        <v>100,0650</v>
      </c>
      <c r="N30" s="23" t="s">
        <v>1427</v>
      </c>
    </row>
    <row r="31" spans="1:14" ht="12.75">
      <c r="A31" s="12" t="s">
        <v>1428</v>
      </c>
      <c r="B31" s="12" t="s">
        <v>1892</v>
      </c>
      <c r="C31" s="12" t="s">
        <v>1429</v>
      </c>
      <c r="D31" s="12" t="s">
        <v>697</v>
      </c>
      <c r="E31" s="12" t="str">
        <f>"0,9734"</f>
        <v>0,9734</v>
      </c>
      <c r="F31" s="12" t="s">
        <v>18</v>
      </c>
      <c r="G31" s="12" t="s">
        <v>19</v>
      </c>
      <c r="H31" s="14" t="s">
        <v>96</v>
      </c>
      <c r="I31" s="14" t="s">
        <v>123</v>
      </c>
      <c r="J31" s="13" t="s">
        <v>39</v>
      </c>
      <c r="K31" s="13"/>
      <c r="L31" s="12" t="str">
        <f>"135,0"</f>
        <v>135,0</v>
      </c>
      <c r="M31" s="14" t="str">
        <f>"132,7231"</f>
        <v>132,7231</v>
      </c>
      <c r="N31" s="12"/>
    </row>
    <row r="33" spans="1:14" ht="15">
      <c r="A33" s="48" t="s">
        <v>13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2.75">
      <c r="A34" s="9" t="s">
        <v>1430</v>
      </c>
      <c r="B34" s="9" t="s">
        <v>1890</v>
      </c>
      <c r="C34" s="9" t="s">
        <v>1431</v>
      </c>
      <c r="D34" s="9" t="s">
        <v>1432</v>
      </c>
      <c r="E34" s="9" t="str">
        <f>"0,9082"</f>
        <v>0,9082</v>
      </c>
      <c r="F34" s="9" t="s">
        <v>18</v>
      </c>
      <c r="G34" s="9" t="s">
        <v>19</v>
      </c>
      <c r="H34" s="10" t="s">
        <v>39</v>
      </c>
      <c r="I34" s="10" t="s">
        <v>39</v>
      </c>
      <c r="J34" s="10" t="s">
        <v>39</v>
      </c>
      <c r="K34" s="10"/>
      <c r="L34" s="9" t="str">
        <f>"0,0"</f>
        <v>0,0</v>
      </c>
      <c r="M34" s="11" t="str">
        <f>"0,0000"</f>
        <v>0,0000</v>
      </c>
      <c r="N34" s="9" t="s">
        <v>1086</v>
      </c>
    </row>
    <row r="35" spans="1:14" ht="12.75">
      <c r="A35" s="12" t="s">
        <v>1433</v>
      </c>
      <c r="B35" s="12" t="s">
        <v>1887</v>
      </c>
      <c r="C35" s="12" t="s">
        <v>1434</v>
      </c>
      <c r="D35" s="12" t="s">
        <v>1435</v>
      </c>
      <c r="E35" s="12" t="str">
        <f>"0,9369"</f>
        <v>0,9369</v>
      </c>
      <c r="F35" s="12" t="s">
        <v>18</v>
      </c>
      <c r="G35" s="12" t="s">
        <v>19</v>
      </c>
      <c r="H35" s="14" t="s">
        <v>282</v>
      </c>
      <c r="I35" s="14" t="s">
        <v>232</v>
      </c>
      <c r="J35" s="14" t="s">
        <v>91</v>
      </c>
      <c r="K35" s="13"/>
      <c r="L35" s="12" t="str">
        <f>"100,0"</f>
        <v>100,0</v>
      </c>
      <c r="M35" s="14" t="str">
        <f>"102,7779"</f>
        <v>102,7779</v>
      </c>
      <c r="N35" s="12" t="s">
        <v>1436</v>
      </c>
    </row>
    <row r="37" spans="1:14" ht="15">
      <c r="A37" s="48" t="s">
        <v>110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1:14" ht="12.75">
      <c r="A38" s="9" t="s">
        <v>1437</v>
      </c>
      <c r="B38" s="9" t="s">
        <v>1892</v>
      </c>
      <c r="C38" s="9" t="s">
        <v>1438</v>
      </c>
      <c r="D38" s="9" t="s">
        <v>1439</v>
      </c>
      <c r="E38" s="9" t="str">
        <f>"0,7901"</f>
        <v>0,7901</v>
      </c>
      <c r="F38" s="9" t="s">
        <v>1382</v>
      </c>
      <c r="G38" s="27" t="s">
        <v>1628</v>
      </c>
      <c r="H38" s="11" t="s">
        <v>118</v>
      </c>
      <c r="I38" s="10" t="s">
        <v>152</v>
      </c>
      <c r="J38" s="10" t="s">
        <v>152</v>
      </c>
      <c r="K38" s="10"/>
      <c r="L38" s="9" t="str">
        <f>"170,0"</f>
        <v>170,0</v>
      </c>
      <c r="M38" s="11" t="str">
        <f>"134,3170"</f>
        <v>134,3170</v>
      </c>
      <c r="N38" s="9"/>
    </row>
    <row r="39" spans="1:14" ht="12.75">
      <c r="A39" s="23" t="s">
        <v>1440</v>
      </c>
      <c r="B39" s="23" t="s">
        <v>1891</v>
      </c>
      <c r="C39" s="23" t="s">
        <v>1441</v>
      </c>
      <c r="D39" s="23" t="s">
        <v>464</v>
      </c>
      <c r="E39" s="23" t="str">
        <f>"0,7962"</f>
        <v>0,7962</v>
      </c>
      <c r="F39" s="23" t="s">
        <v>539</v>
      </c>
      <c r="G39" s="23" t="s">
        <v>540</v>
      </c>
      <c r="H39" s="24" t="s">
        <v>151</v>
      </c>
      <c r="I39" s="24" t="s">
        <v>152</v>
      </c>
      <c r="J39" s="24" t="s">
        <v>143</v>
      </c>
      <c r="K39" s="25"/>
      <c r="L39" s="23" t="str">
        <f>"197,5"</f>
        <v>197,5</v>
      </c>
      <c r="M39" s="24" t="str">
        <f>"157,2495"</f>
        <v>157,2495</v>
      </c>
      <c r="N39" s="23" t="s">
        <v>1442</v>
      </c>
    </row>
    <row r="40" spans="1:14" ht="12.75">
      <c r="A40" s="12" t="s">
        <v>1443</v>
      </c>
      <c r="B40" s="12" t="s">
        <v>1892</v>
      </c>
      <c r="C40" s="12" t="s">
        <v>1444</v>
      </c>
      <c r="D40" s="12" t="s">
        <v>113</v>
      </c>
      <c r="E40" s="12" t="str">
        <f>"0,7832"</f>
        <v>0,7832</v>
      </c>
      <c r="F40" s="12" t="s">
        <v>18</v>
      </c>
      <c r="G40" s="12" t="s">
        <v>19</v>
      </c>
      <c r="H40" s="13" t="s">
        <v>118</v>
      </c>
      <c r="I40" s="13" t="s">
        <v>118</v>
      </c>
      <c r="J40" s="14" t="s">
        <v>118</v>
      </c>
      <c r="K40" s="13"/>
      <c r="L40" s="12" t="str">
        <f>"170,0"</f>
        <v>170,0</v>
      </c>
      <c r="M40" s="14" t="str">
        <f>"133,1440"</f>
        <v>133,1440</v>
      </c>
      <c r="N40" s="12" t="s">
        <v>1445</v>
      </c>
    </row>
    <row r="42" spans="1:14" ht="15">
      <c r="A42" s="48" t="s">
        <v>128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2.75">
      <c r="A43" s="9" t="s">
        <v>1446</v>
      </c>
      <c r="B43" s="9" t="s">
        <v>1891</v>
      </c>
      <c r="C43" s="9" t="s">
        <v>1447</v>
      </c>
      <c r="D43" s="9" t="s">
        <v>1448</v>
      </c>
      <c r="E43" s="9" t="str">
        <f>"0,7186"</f>
        <v>0,7186</v>
      </c>
      <c r="F43" s="9" t="s">
        <v>18</v>
      </c>
      <c r="G43" s="9" t="s">
        <v>19</v>
      </c>
      <c r="H43" s="11" t="s">
        <v>153</v>
      </c>
      <c r="I43" s="10" t="s">
        <v>21</v>
      </c>
      <c r="J43" s="10" t="s">
        <v>21</v>
      </c>
      <c r="K43" s="10"/>
      <c r="L43" s="9" t="str">
        <f>"212,5"</f>
        <v>212,5</v>
      </c>
      <c r="M43" s="11" t="str">
        <f>"152,7025"</f>
        <v>152,7025</v>
      </c>
      <c r="N43" s="9" t="s">
        <v>29</v>
      </c>
    </row>
    <row r="44" spans="1:14" ht="12.75">
      <c r="A44" s="23" t="s">
        <v>1449</v>
      </c>
      <c r="B44" s="23" t="s">
        <v>1892</v>
      </c>
      <c r="C44" s="23" t="s">
        <v>1450</v>
      </c>
      <c r="D44" s="23" t="s">
        <v>1451</v>
      </c>
      <c r="E44" s="23" t="str">
        <f>"0,7200"</f>
        <v>0,7200</v>
      </c>
      <c r="F44" s="23" t="s">
        <v>618</v>
      </c>
      <c r="G44" s="23" t="s">
        <v>619</v>
      </c>
      <c r="H44" s="24" t="s">
        <v>62</v>
      </c>
      <c r="I44" s="24" t="s">
        <v>64</v>
      </c>
      <c r="J44" s="24" t="s">
        <v>36</v>
      </c>
      <c r="K44" s="25"/>
      <c r="L44" s="23" t="str">
        <f>"207,5"</f>
        <v>207,5</v>
      </c>
      <c r="M44" s="24" t="str">
        <f>"149,4000"</f>
        <v>149,4000</v>
      </c>
      <c r="N44" s="23" t="s">
        <v>1452</v>
      </c>
    </row>
    <row r="45" spans="1:14" ht="12.75">
      <c r="A45" s="23" t="s">
        <v>1453</v>
      </c>
      <c r="B45" s="23" t="s">
        <v>1889</v>
      </c>
      <c r="C45" s="23" t="s">
        <v>1454</v>
      </c>
      <c r="D45" s="23" t="s">
        <v>1455</v>
      </c>
      <c r="E45" s="23" t="str">
        <f>"0,7552"</f>
        <v>0,7552</v>
      </c>
      <c r="F45" s="23" t="s">
        <v>18</v>
      </c>
      <c r="G45" s="23" t="s">
        <v>19</v>
      </c>
      <c r="H45" s="25" t="s">
        <v>123</v>
      </c>
      <c r="I45" s="24" t="s">
        <v>123</v>
      </c>
      <c r="J45" s="24" t="s">
        <v>23</v>
      </c>
      <c r="K45" s="25"/>
      <c r="L45" s="23" t="str">
        <f>"145,0"</f>
        <v>145,0</v>
      </c>
      <c r="M45" s="24" t="str">
        <f>"109,5040"</f>
        <v>109,5040</v>
      </c>
      <c r="N45" s="23" t="s">
        <v>1456</v>
      </c>
    </row>
    <row r="46" spans="1:14" ht="12.75">
      <c r="A46" s="23" t="s">
        <v>1458</v>
      </c>
      <c r="B46" s="23" t="s">
        <v>1891</v>
      </c>
      <c r="C46" s="23" t="s">
        <v>1459</v>
      </c>
      <c r="D46" s="23" t="s">
        <v>1451</v>
      </c>
      <c r="E46" s="23" t="str">
        <f>"0,7200"</f>
        <v>0,7200</v>
      </c>
      <c r="F46" s="23" t="s">
        <v>618</v>
      </c>
      <c r="G46" s="23" t="s">
        <v>619</v>
      </c>
      <c r="H46" s="25" t="s">
        <v>37</v>
      </c>
      <c r="I46" s="25" t="s">
        <v>60</v>
      </c>
      <c r="J46" s="24" t="s">
        <v>71</v>
      </c>
      <c r="K46" s="25"/>
      <c r="L46" s="23" t="str">
        <f>"237,5"</f>
        <v>237,5</v>
      </c>
      <c r="M46" s="24" t="str">
        <f>"171,0000"</f>
        <v>171,0000</v>
      </c>
      <c r="N46" s="23" t="s">
        <v>1460</v>
      </c>
    </row>
    <row r="47" spans="1:14" ht="12.75">
      <c r="A47" s="23" t="s">
        <v>1461</v>
      </c>
      <c r="B47" s="23" t="s">
        <v>1891</v>
      </c>
      <c r="C47" s="23" t="s">
        <v>1462</v>
      </c>
      <c r="D47" s="23" t="s">
        <v>1463</v>
      </c>
      <c r="E47" s="23" t="str">
        <f>"0,7193"</f>
        <v>0,7193</v>
      </c>
      <c r="F47" s="23" t="s">
        <v>18</v>
      </c>
      <c r="G47" s="23" t="s">
        <v>19</v>
      </c>
      <c r="H47" s="24" t="s">
        <v>60</v>
      </c>
      <c r="I47" s="25" t="s">
        <v>22</v>
      </c>
      <c r="J47" s="25" t="s">
        <v>22</v>
      </c>
      <c r="K47" s="25"/>
      <c r="L47" s="23" t="str">
        <f>"230,0"</f>
        <v>230,0</v>
      </c>
      <c r="M47" s="24" t="str">
        <f>"165,4390"</f>
        <v>165,4390</v>
      </c>
      <c r="N47" s="23" t="s">
        <v>1464</v>
      </c>
    </row>
    <row r="48" spans="1:14" ht="12.75">
      <c r="A48" s="23" t="s">
        <v>1465</v>
      </c>
      <c r="B48" s="23" t="s">
        <v>1891</v>
      </c>
      <c r="C48" s="23" t="s">
        <v>1466</v>
      </c>
      <c r="D48" s="23" t="s">
        <v>988</v>
      </c>
      <c r="E48" s="23" t="str">
        <f>"0,7228"</f>
        <v>0,7228</v>
      </c>
      <c r="F48" s="23" t="s">
        <v>18</v>
      </c>
      <c r="G48" s="23" t="s">
        <v>19</v>
      </c>
      <c r="H48" s="24" t="s">
        <v>62</v>
      </c>
      <c r="I48" s="24" t="s">
        <v>64</v>
      </c>
      <c r="J48" s="24" t="s">
        <v>20</v>
      </c>
      <c r="K48" s="25"/>
      <c r="L48" s="23" t="str">
        <f>"210,0"</f>
        <v>210,0</v>
      </c>
      <c r="M48" s="24" t="str">
        <f>"151,7880"</f>
        <v>151,7880</v>
      </c>
      <c r="N48" s="23" t="s">
        <v>1467</v>
      </c>
    </row>
    <row r="49" spans="1:14" ht="12.75">
      <c r="A49" s="23" t="s">
        <v>1468</v>
      </c>
      <c r="B49" s="23" t="s">
        <v>1892</v>
      </c>
      <c r="C49" s="23" t="s">
        <v>1469</v>
      </c>
      <c r="D49" s="23" t="s">
        <v>988</v>
      </c>
      <c r="E49" s="23" t="str">
        <f>"0,7228"</f>
        <v>0,7228</v>
      </c>
      <c r="F49" s="23" t="s">
        <v>18</v>
      </c>
      <c r="G49" s="23" t="s">
        <v>1470</v>
      </c>
      <c r="H49" s="24" t="s">
        <v>64</v>
      </c>
      <c r="I49" s="25" t="s">
        <v>20</v>
      </c>
      <c r="J49" s="25" t="s">
        <v>42</v>
      </c>
      <c r="K49" s="25"/>
      <c r="L49" s="23" t="str">
        <f>"200,0"</f>
        <v>200,0</v>
      </c>
      <c r="M49" s="24" t="str">
        <f>"144,5600"</f>
        <v>144,5600</v>
      </c>
      <c r="N49" s="23" t="s">
        <v>29</v>
      </c>
    </row>
    <row r="50" spans="1:14" ht="12.75">
      <c r="A50" s="23" t="s">
        <v>1471</v>
      </c>
      <c r="B50" s="23" t="s">
        <v>1892</v>
      </c>
      <c r="C50" s="23" t="s">
        <v>1472</v>
      </c>
      <c r="D50" s="23" t="s">
        <v>1473</v>
      </c>
      <c r="E50" s="23" t="str">
        <f>"0,7139"</f>
        <v>0,7139</v>
      </c>
      <c r="F50" s="23" t="s">
        <v>18</v>
      </c>
      <c r="G50" s="23" t="s">
        <v>19</v>
      </c>
      <c r="H50" s="25" t="s">
        <v>64</v>
      </c>
      <c r="I50" s="24" t="s">
        <v>64</v>
      </c>
      <c r="J50" s="25" t="s">
        <v>20</v>
      </c>
      <c r="K50" s="25"/>
      <c r="L50" s="23" t="str">
        <f>"200,0"</f>
        <v>200,0</v>
      </c>
      <c r="M50" s="24" t="str">
        <f>"142,7800"</f>
        <v>142,7800</v>
      </c>
      <c r="N50" s="23" t="s">
        <v>1075</v>
      </c>
    </row>
    <row r="51" spans="1:14" ht="12.75">
      <c r="A51" s="23" t="s">
        <v>1474</v>
      </c>
      <c r="B51" s="23" t="s">
        <v>1888</v>
      </c>
      <c r="C51" s="23" t="s">
        <v>1475</v>
      </c>
      <c r="D51" s="23" t="s">
        <v>982</v>
      </c>
      <c r="E51" s="23" t="str">
        <f>"0,7152"</f>
        <v>0,7152</v>
      </c>
      <c r="F51" s="23" t="s">
        <v>18</v>
      </c>
      <c r="G51" s="23" t="s">
        <v>19</v>
      </c>
      <c r="H51" s="24" t="s">
        <v>115</v>
      </c>
      <c r="I51" s="24" t="s">
        <v>151</v>
      </c>
      <c r="J51" s="25" t="s">
        <v>326</v>
      </c>
      <c r="K51" s="25"/>
      <c r="L51" s="23" t="str">
        <f>"175,0"</f>
        <v>175,0</v>
      </c>
      <c r="M51" s="24" t="str">
        <f>"125,1600"</f>
        <v>125,1600</v>
      </c>
      <c r="N51" s="23" t="s">
        <v>631</v>
      </c>
    </row>
    <row r="52" spans="1:14" ht="12.75">
      <c r="A52" s="23" t="s">
        <v>1476</v>
      </c>
      <c r="B52" s="23" t="s">
        <v>1891</v>
      </c>
      <c r="C52" s="23" t="s">
        <v>1477</v>
      </c>
      <c r="D52" s="23" t="s">
        <v>478</v>
      </c>
      <c r="E52" s="23" t="str">
        <f>"0,7173"</f>
        <v>0,7173</v>
      </c>
      <c r="F52" s="23" t="s">
        <v>34</v>
      </c>
      <c r="G52" s="23" t="s">
        <v>767</v>
      </c>
      <c r="H52" s="24" t="s">
        <v>40</v>
      </c>
      <c r="I52" s="24" t="s">
        <v>41</v>
      </c>
      <c r="J52" s="24" t="s">
        <v>305</v>
      </c>
      <c r="K52" s="25"/>
      <c r="L52" s="23" t="str">
        <f>"157,5"</f>
        <v>157,5</v>
      </c>
      <c r="M52" s="24" t="str">
        <f>"194,0906"</f>
        <v>194,0906</v>
      </c>
      <c r="N52" s="23" t="s">
        <v>1478</v>
      </c>
    </row>
    <row r="53" spans="1:14" ht="12.75">
      <c r="A53" s="12" t="s">
        <v>1480</v>
      </c>
      <c r="B53" s="12" t="s">
        <v>1895</v>
      </c>
      <c r="C53" s="12" t="s">
        <v>1481</v>
      </c>
      <c r="D53" s="12" t="s">
        <v>701</v>
      </c>
      <c r="E53" s="12" t="str">
        <f>"0,7214"</f>
        <v>0,7214</v>
      </c>
      <c r="F53" s="12" t="s">
        <v>34</v>
      </c>
      <c r="G53" s="12" t="s">
        <v>994</v>
      </c>
      <c r="H53" s="14" t="s">
        <v>114</v>
      </c>
      <c r="I53" s="14" t="s">
        <v>197</v>
      </c>
      <c r="J53" s="14" t="s">
        <v>61</v>
      </c>
      <c r="K53" s="13"/>
      <c r="L53" s="12" t="str">
        <f>"180,0"</f>
        <v>180,0</v>
      </c>
      <c r="M53" s="14" t="str">
        <f>"243,6024"</f>
        <v>243,6024</v>
      </c>
      <c r="N53" s="12"/>
    </row>
    <row r="55" spans="1:14" ht="15">
      <c r="A55" s="48" t="s">
        <v>13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1:14" ht="12.75">
      <c r="A56" s="9" t="s">
        <v>1482</v>
      </c>
      <c r="B56" s="9" t="s">
        <v>1891</v>
      </c>
      <c r="C56" s="9" t="s">
        <v>1483</v>
      </c>
      <c r="D56" s="9" t="s">
        <v>490</v>
      </c>
      <c r="E56" s="9" t="str">
        <f>"0,6764"</f>
        <v>0,6764</v>
      </c>
      <c r="F56" s="9" t="s">
        <v>18</v>
      </c>
      <c r="G56" s="9" t="s">
        <v>19</v>
      </c>
      <c r="H56" s="11" t="s">
        <v>168</v>
      </c>
      <c r="I56" s="11" t="s">
        <v>60</v>
      </c>
      <c r="J56" s="10" t="s">
        <v>26</v>
      </c>
      <c r="K56" s="10"/>
      <c r="L56" s="9" t="str">
        <f>"230,0"</f>
        <v>230,0</v>
      </c>
      <c r="M56" s="11" t="str">
        <f>"155,5720"</f>
        <v>155,5720</v>
      </c>
      <c r="N56" s="9" t="s">
        <v>1464</v>
      </c>
    </row>
    <row r="57" spans="1:14" ht="12.75">
      <c r="A57" s="23" t="s">
        <v>1485</v>
      </c>
      <c r="B57" s="23" t="s">
        <v>1895</v>
      </c>
      <c r="C57" s="23" t="s">
        <v>1486</v>
      </c>
      <c r="D57" s="23" t="s">
        <v>147</v>
      </c>
      <c r="E57" s="23" t="str">
        <f>"0,6739"</f>
        <v>0,6739</v>
      </c>
      <c r="F57" s="26" t="s">
        <v>1629</v>
      </c>
      <c r="G57" s="23" t="s">
        <v>1487</v>
      </c>
      <c r="H57" s="24" t="s">
        <v>22</v>
      </c>
      <c r="I57" s="24" t="s">
        <v>28</v>
      </c>
      <c r="J57" s="24" t="s">
        <v>444</v>
      </c>
      <c r="K57" s="25"/>
      <c r="L57" s="23" t="str">
        <f>"262,5"</f>
        <v>262,5</v>
      </c>
      <c r="M57" s="24" t="str">
        <f>"176,8988"</f>
        <v>176,8988</v>
      </c>
      <c r="N57" s="23" t="s">
        <v>1488</v>
      </c>
    </row>
    <row r="58" spans="1:14" ht="12.75">
      <c r="A58" s="23" t="s">
        <v>1489</v>
      </c>
      <c r="B58" s="23" t="s">
        <v>1888</v>
      </c>
      <c r="C58" s="23" t="s">
        <v>1490</v>
      </c>
      <c r="D58" s="23" t="s">
        <v>1491</v>
      </c>
      <c r="E58" s="23" t="str">
        <f>"0,7061"</f>
        <v>0,7061</v>
      </c>
      <c r="F58" s="23" t="s">
        <v>34</v>
      </c>
      <c r="G58" s="23" t="s">
        <v>626</v>
      </c>
      <c r="H58" s="25" t="s">
        <v>25</v>
      </c>
      <c r="I58" s="24" t="s">
        <v>197</v>
      </c>
      <c r="J58" s="24" t="s">
        <v>61</v>
      </c>
      <c r="K58" s="25"/>
      <c r="L58" s="23" t="str">
        <f>"180,0"</f>
        <v>180,0</v>
      </c>
      <c r="M58" s="24" t="str">
        <f>"127,0980"</f>
        <v>127,0980</v>
      </c>
      <c r="N58" s="23" t="s">
        <v>29</v>
      </c>
    </row>
    <row r="59" spans="1:14" ht="12.75">
      <c r="A59" s="23" t="s">
        <v>1492</v>
      </c>
      <c r="B59" s="23" t="s">
        <v>1888</v>
      </c>
      <c r="C59" s="23" t="s">
        <v>1493</v>
      </c>
      <c r="D59" s="23" t="s">
        <v>1494</v>
      </c>
      <c r="E59" s="23" t="str">
        <f>"0,6871"</f>
        <v>0,6871</v>
      </c>
      <c r="F59" s="23" t="s">
        <v>34</v>
      </c>
      <c r="G59" s="23" t="s">
        <v>1495</v>
      </c>
      <c r="H59" s="24" t="s">
        <v>118</v>
      </c>
      <c r="I59" s="24" t="s">
        <v>61</v>
      </c>
      <c r="J59" s="25" t="s">
        <v>747</v>
      </c>
      <c r="K59" s="25"/>
      <c r="L59" s="23" t="str">
        <f>"180,0"</f>
        <v>180,0</v>
      </c>
      <c r="M59" s="24" t="str">
        <f>"123,6780"</f>
        <v>123,6780</v>
      </c>
      <c r="N59" s="23" t="s">
        <v>1496</v>
      </c>
    </row>
    <row r="60" spans="1:14" ht="12.75">
      <c r="A60" s="23" t="s">
        <v>1497</v>
      </c>
      <c r="B60" s="23" t="s">
        <v>1888</v>
      </c>
      <c r="C60" s="23" t="s">
        <v>1498</v>
      </c>
      <c r="D60" s="23" t="s">
        <v>1499</v>
      </c>
      <c r="E60" s="23" t="str">
        <f>"0,6795"</f>
        <v>0,6795</v>
      </c>
      <c r="F60" s="23" t="s">
        <v>18</v>
      </c>
      <c r="G60" s="23" t="s">
        <v>19</v>
      </c>
      <c r="H60" s="24" t="s">
        <v>61</v>
      </c>
      <c r="I60" s="25" t="s">
        <v>62</v>
      </c>
      <c r="J60" s="25" t="s">
        <v>62</v>
      </c>
      <c r="K60" s="25"/>
      <c r="L60" s="23" t="str">
        <f>"180,0"</f>
        <v>180,0</v>
      </c>
      <c r="M60" s="24" t="str">
        <f>"122,3100"</f>
        <v>122,3100</v>
      </c>
      <c r="N60" s="23" t="s">
        <v>1500</v>
      </c>
    </row>
    <row r="61" spans="1:14" ht="12.75">
      <c r="A61" s="23" t="s">
        <v>1501</v>
      </c>
      <c r="B61" s="23" t="s">
        <v>1888</v>
      </c>
      <c r="C61" s="23" t="s">
        <v>1502</v>
      </c>
      <c r="D61" s="23" t="s">
        <v>494</v>
      </c>
      <c r="E61" s="23" t="str">
        <f>"0,6754"</f>
        <v>0,6754</v>
      </c>
      <c r="F61" s="23" t="s">
        <v>34</v>
      </c>
      <c r="G61" s="23" t="s">
        <v>1503</v>
      </c>
      <c r="H61" s="24" t="s">
        <v>198</v>
      </c>
      <c r="I61" s="25" t="s">
        <v>747</v>
      </c>
      <c r="J61" s="25" t="s">
        <v>747</v>
      </c>
      <c r="K61" s="25"/>
      <c r="L61" s="23" t="str">
        <f>"177,5"</f>
        <v>177,5</v>
      </c>
      <c r="M61" s="24" t="str">
        <f>"119,8835"</f>
        <v>119,8835</v>
      </c>
      <c r="N61" s="23" t="s">
        <v>1504</v>
      </c>
    </row>
    <row r="62" spans="1:14" ht="12.75">
      <c r="A62" s="23" t="s">
        <v>1505</v>
      </c>
      <c r="B62" s="23" t="s">
        <v>1892</v>
      </c>
      <c r="C62" s="23" t="s">
        <v>1506</v>
      </c>
      <c r="D62" s="23" t="s">
        <v>1507</v>
      </c>
      <c r="E62" s="23" t="str">
        <f>"0,6876"</f>
        <v>0,6876</v>
      </c>
      <c r="F62" s="23" t="s">
        <v>18</v>
      </c>
      <c r="G62" s="23" t="s">
        <v>19</v>
      </c>
      <c r="H62" s="25" t="s">
        <v>118</v>
      </c>
      <c r="I62" s="24" t="s">
        <v>118</v>
      </c>
      <c r="J62" s="24" t="s">
        <v>152</v>
      </c>
      <c r="K62" s="25"/>
      <c r="L62" s="23" t="str">
        <f>"185,0"</f>
        <v>185,0</v>
      </c>
      <c r="M62" s="24" t="str">
        <f>"128,4781"</f>
        <v>128,4781</v>
      </c>
      <c r="N62" s="23" t="s">
        <v>29</v>
      </c>
    </row>
    <row r="63" spans="1:14" ht="12.75">
      <c r="A63" s="23" t="s">
        <v>1508</v>
      </c>
      <c r="B63" s="23" t="s">
        <v>1895</v>
      </c>
      <c r="C63" s="23" t="s">
        <v>1509</v>
      </c>
      <c r="D63" s="23" t="s">
        <v>1060</v>
      </c>
      <c r="E63" s="23" t="str">
        <f>"0,6806"</f>
        <v>0,6806</v>
      </c>
      <c r="F63" s="23" t="s">
        <v>34</v>
      </c>
      <c r="G63" s="23" t="s">
        <v>1248</v>
      </c>
      <c r="H63" s="24" t="s">
        <v>321</v>
      </c>
      <c r="I63" s="24" t="s">
        <v>153</v>
      </c>
      <c r="J63" s="24" t="s">
        <v>37</v>
      </c>
      <c r="K63" s="24" t="s">
        <v>21</v>
      </c>
      <c r="L63" s="23" t="str">
        <f>"220,0"</f>
        <v>220,0</v>
      </c>
      <c r="M63" s="24" t="str">
        <f>"200,6409"</f>
        <v>200,6409</v>
      </c>
      <c r="N63" s="23" t="s">
        <v>1249</v>
      </c>
    </row>
    <row r="64" spans="1:14" ht="12.75">
      <c r="A64" s="12" t="s">
        <v>1510</v>
      </c>
      <c r="B64" s="12" t="s">
        <v>1891</v>
      </c>
      <c r="C64" s="12" t="s">
        <v>1511</v>
      </c>
      <c r="D64" s="12" t="s">
        <v>1432</v>
      </c>
      <c r="E64" s="12" t="str">
        <f>"0,6769"</f>
        <v>0,6769</v>
      </c>
      <c r="F64" s="12" t="s">
        <v>34</v>
      </c>
      <c r="G64" s="12" t="s">
        <v>706</v>
      </c>
      <c r="H64" s="14" t="s">
        <v>25</v>
      </c>
      <c r="I64" s="14" t="s">
        <v>61</v>
      </c>
      <c r="J64" s="13" t="s">
        <v>152</v>
      </c>
      <c r="K64" s="13"/>
      <c r="L64" s="12" t="str">
        <f>"180,0"</f>
        <v>180,0</v>
      </c>
      <c r="M64" s="14" t="str">
        <f>"176,6709"</f>
        <v>176,6709</v>
      </c>
      <c r="N64" s="12" t="s">
        <v>707</v>
      </c>
    </row>
    <row r="66" spans="1:14" ht="15">
      <c r="A66" s="48" t="s">
        <v>155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ht="12.75">
      <c r="A67" s="9" t="s">
        <v>1512</v>
      </c>
      <c r="B67" s="9" t="s">
        <v>1891</v>
      </c>
      <c r="C67" s="9" t="s">
        <v>1513</v>
      </c>
      <c r="D67" s="9" t="s">
        <v>1514</v>
      </c>
      <c r="E67" s="9" t="str">
        <f>"0,6511"</f>
        <v>0,6511</v>
      </c>
      <c r="F67" s="27" t="s">
        <v>18</v>
      </c>
      <c r="G67" s="9" t="s">
        <v>19</v>
      </c>
      <c r="H67" s="11" t="s">
        <v>26</v>
      </c>
      <c r="I67" s="10" t="s">
        <v>49</v>
      </c>
      <c r="J67" s="10" t="s">
        <v>49</v>
      </c>
      <c r="K67" s="10"/>
      <c r="L67" s="9" t="str">
        <f>"235,0"</f>
        <v>235,0</v>
      </c>
      <c r="M67" s="11" t="str">
        <f>"153,0085"</f>
        <v>153,0085</v>
      </c>
      <c r="N67" s="9" t="s">
        <v>29</v>
      </c>
    </row>
    <row r="68" spans="1:14" ht="12.75">
      <c r="A68" s="23" t="s">
        <v>1515</v>
      </c>
      <c r="B68" s="23" t="s">
        <v>1890</v>
      </c>
      <c r="C68" s="23" t="s">
        <v>1516</v>
      </c>
      <c r="D68" s="23" t="s">
        <v>171</v>
      </c>
      <c r="E68" s="23" t="str">
        <f>"0,6410"</f>
        <v>0,6410</v>
      </c>
      <c r="F68" s="23" t="s">
        <v>308</v>
      </c>
      <c r="G68" s="23" t="s">
        <v>1517</v>
      </c>
      <c r="H68" s="25" t="s">
        <v>20</v>
      </c>
      <c r="I68" s="25" t="s">
        <v>37</v>
      </c>
      <c r="J68" s="25" t="s">
        <v>37</v>
      </c>
      <c r="K68" s="25"/>
      <c r="L68" s="23" t="str">
        <f>"0,0"</f>
        <v>0,0</v>
      </c>
      <c r="M68" s="24" t="str">
        <f>"0,0000"</f>
        <v>0,0000</v>
      </c>
      <c r="N68" s="23"/>
    </row>
    <row r="69" spans="1:14" ht="12.75">
      <c r="A69" s="23" t="s">
        <v>1518</v>
      </c>
      <c r="B69" s="23" t="s">
        <v>1895</v>
      </c>
      <c r="C69" s="23" t="s">
        <v>1113</v>
      </c>
      <c r="D69" s="23" t="s">
        <v>1114</v>
      </c>
      <c r="E69" s="23" t="str">
        <f>"0,6406"</f>
        <v>0,6406</v>
      </c>
      <c r="F69" s="23" t="s">
        <v>18</v>
      </c>
      <c r="G69" s="23" t="s">
        <v>19</v>
      </c>
      <c r="H69" s="24" t="s">
        <v>52</v>
      </c>
      <c r="I69" s="25" t="s">
        <v>513</v>
      </c>
      <c r="J69" s="25" t="s">
        <v>513</v>
      </c>
      <c r="K69" s="25"/>
      <c r="L69" s="23" t="str">
        <f>"265,0"</f>
        <v>265,0</v>
      </c>
      <c r="M69" s="24" t="str">
        <f>"169,7590"</f>
        <v>169,7590</v>
      </c>
      <c r="N69" s="23" t="s">
        <v>29</v>
      </c>
    </row>
    <row r="70" spans="1:14" ht="12.75">
      <c r="A70" s="23" t="s">
        <v>1519</v>
      </c>
      <c r="B70" s="23" t="s">
        <v>1892</v>
      </c>
      <c r="C70" s="23" t="s">
        <v>1520</v>
      </c>
      <c r="D70" s="23" t="s">
        <v>1521</v>
      </c>
      <c r="E70" s="23" t="str">
        <f>"0,6656"</f>
        <v>0,6656</v>
      </c>
      <c r="F70" s="23" t="s">
        <v>34</v>
      </c>
      <c r="G70" s="23" t="s">
        <v>167</v>
      </c>
      <c r="H70" s="24" t="s">
        <v>42</v>
      </c>
      <c r="I70" s="24" t="s">
        <v>21</v>
      </c>
      <c r="J70" s="25" t="s">
        <v>60</v>
      </c>
      <c r="K70" s="25"/>
      <c r="L70" s="23" t="str">
        <f>"225,0"</f>
        <v>225,0</v>
      </c>
      <c r="M70" s="24" t="str">
        <f>"149,7600"</f>
        <v>149,7600</v>
      </c>
      <c r="N70" s="23"/>
    </row>
    <row r="71" spans="1:14" ht="12.75">
      <c r="A71" s="23" t="s">
        <v>1522</v>
      </c>
      <c r="B71" s="23" t="s">
        <v>1892</v>
      </c>
      <c r="C71" s="23" t="s">
        <v>1523</v>
      </c>
      <c r="D71" s="23" t="s">
        <v>614</v>
      </c>
      <c r="E71" s="23" t="str">
        <f>"0,6536"</f>
        <v>0,6536</v>
      </c>
      <c r="F71" s="23" t="s">
        <v>18</v>
      </c>
      <c r="G71" s="23" t="s">
        <v>18</v>
      </c>
      <c r="H71" s="24" t="s">
        <v>747</v>
      </c>
      <c r="I71" s="24" t="s">
        <v>714</v>
      </c>
      <c r="J71" s="24" t="s">
        <v>20</v>
      </c>
      <c r="K71" s="25"/>
      <c r="L71" s="23" t="str">
        <f>"210,0"</f>
        <v>210,0</v>
      </c>
      <c r="M71" s="24" t="str">
        <f>"137,2560"</f>
        <v>137,2560</v>
      </c>
      <c r="N71" s="23" t="s">
        <v>1524</v>
      </c>
    </row>
    <row r="72" spans="1:14" ht="12.75">
      <c r="A72" s="23" t="s">
        <v>1525</v>
      </c>
      <c r="B72" s="23" t="s">
        <v>1892</v>
      </c>
      <c r="C72" s="23" t="s">
        <v>1526</v>
      </c>
      <c r="D72" s="23" t="s">
        <v>1527</v>
      </c>
      <c r="E72" s="23" t="str">
        <f>"0,6579"</f>
        <v>0,6579</v>
      </c>
      <c r="F72" s="23" t="s">
        <v>34</v>
      </c>
      <c r="G72" s="23" t="s">
        <v>1528</v>
      </c>
      <c r="H72" s="24" t="s">
        <v>64</v>
      </c>
      <c r="I72" s="24" t="s">
        <v>321</v>
      </c>
      <c r="J72" s="25" t="s">
        <v>36</v>
      </c>
      <c r="K72" s="25"/>
      <c r="L72" s="23" t="str">
        <f>"205,0"</f>
        <v>205,0</v>
      </c>
      <c r="M72" s="24" t="str">
        <f>"134,8695"</f>
        <v>134,8695</v>
      </c>
      <c r="N72" s="26" t="s">
        <v>1626</v>
      </c>
    </row>
    <row r="73" spans="1:14" ht="12.75">
      <c r="A73" s="23" t="s">
        <v>1529</v>
      </c>
      <c r="B73" s="23" t="s">
        <v>1892</v>
      </c>
      <c r="C73" s="23" t="s">
        <v>1530</v>
      </c>
      <c r="D73" s="23" t="s">
        <v>1531</v>
      </c>
      <c r="E73" s="23" t="str">
        <f>"0,6651"</f>
        <v>0,6651</v>
      </c>
      <c r="F73" s="23" t="s">
        <v>18</v>
      </c>
      <c r="G73" s="23" t="s">
        <v>19</v>
      </c>
      <c r="H73" s="24" t="s">
        <v>63</v>
      </c>
      <c r="I73" s="24" t="s">
        <v>714</v>
      </c>
      <c r="J73" s="25"/>
      <c r="K73" s="25"/>
      <c r="L73" s="23" t="str">
        <f>"202,5"</f>
        <v>202,5</v>
      </c>
      <c r="M73" s="24" t="str">
        <f>"134,6827"</f>
        <v>134,6827</v>
      </c>
      <c r="N73" s="23" t="s">
        <v>29</v>
      </c>
    </row>
    <row r="74" spans="1:14" ht="12.75">
      <c r="A74" s="23" t="s">
        <v>1532</v>
      </c>
      <c r="B74" s="23" t="s">
        <v>1888</v>
      </c>
      <c r="C74" s="23" t="s">
        <v>1533</v>
      </c>
      <c r="D74" s="23" t="s">
        <v>1534</v>
      </c>
      <c r="E74" s="23" t="str">
        <f>"0,6680"</f>
        <v>0,6680</v>
      </c>
      <c r="F74" s="23" t="s">
        <v>18</v>
      </c>
      <c r="G74" s="23" t="s">
        <v>19</v>
      </c>
      <c r="H74" s="24" t="s">
        <v>114</v>
      </c>
      <c r="I74" s="24" t="s">
        <v>25</v>
      </c>
      <c r="J74" s="24" t="s">
        <v>62</v>
      </c>
      <c r="K74" s="25"/>
      <c r="L74" s="23" t="str">
        <f>"190,0"</f>
        <v>190,0</v>
      </c>
      <c r="M74" s="24" t="str">
        <f>"126,9200"</f>
        <v>126,9200</v>
      </c>
      <c r="N74" s="23" t="s">
        <v>1203</v>
      </c>
    </row>
    <row r="75" spans="1:14" ht="12.75">
      <c r="A75" s="23" t="s">
        <v>1535</v>
      </c>
      <c r="B75" s="23" t="s">
        <v>1891</v>
      </c>
      <c r="C75" s="23" t="s">
        <v>1536</v>
      </c>
      <c r="D75" s="23" t="s">
        <v>744</v>
      </c>
      <c r="E75" s="23" t="str">
        <f>"0,6467"</f>
        <v>0,6467</v>
      </c>
      <c r="F75" s="23" t="s">
        <v>34</v>
      </c>
      <c r="G75" s="23" t="s">
        <v>367</v>
      </c>
      <c r="H75" s="25" t="s">
        <v>152</v>
      </c>
      <c r="I75" s="24" t="s">
        <v>152</v>
      </c>
      <c r="J75" s="24" t="s">
        <v>20</v>
      </c>
      <c r="K75" s="25"/>
      <c r="L75" s="23" t="str">
        <f>"210,0"</f>
        <v>210,0</v>
      </c>
      <c r="M75" s="24" t="str">
        <f>"143,2764"</f>
        <v>143,2764</v>
      </c>
      <c r="N75" s="23" t="s">
        <v>29</v>
      </c>
    </row>
    <row r="76" spans="1:14" ht="12.75">
      <c r="A76" s="23" t="s">
        <v>1537</v>
      </c>
      <c r="B76" s="23" t="s">
        <v>1888</v>
      </c>
      <c r="C76" s="23" t="s">
        <v>1538</v>
      </c>
      <c r="D76" s="23" t="s">
        <v>1539</v>
      </c>
      <c r="E76" s="23" t="str">
        <f>"0,6615"</f>
        <v>0,6615</v>
      </c>
      <c r="F76" s="23" t="s">
        <v>18</v>
      </c>
      <c r="G76" s="23" t="s">
        <v>19</v>
      </c>
      <c r="H76" s="24" t="s">
        <v>41</v>
      </c>
      <c r="I76" s="24" t="s">
        <v>50</v>
      </c>
      <c r="J76" s="25" t="s">
        <v>197</v>
      </c>
      <c r="K76" s="25"/>
      <c r="L76" s="23" t="str">
        <f>"162,5"</f>
        <v>162,5</v>
      </c>
      <c r="M76" s="24" t="str">
        <f>"125,2302"</f>
        <v>125,2302</v>
      </c>
      <c r="N76" s="23" t="s">
        <v>1203</v>
      </c>
    </row>
    <row r="77" spans="1:14" ht="12.75">
      <c r="A77" s="23" t="s">
        <v>1541</v>
      </c>
      <c r="B77" s="23" t="s">
        <v>1897</v>
      </c>
      <c r="C77" s="23" t="s">
        <v>1542</v>
      </c>
      <c r="D77" s="23" t="s">
        <v>1351</v>
      </c>
      <c r="E77" s="23" t="str">
        <f>"0,6421"</f>
        <v>0,6421</v>
      </c>
      <c r="F77" s="23" t="s">
        <v>1543</v>
      </c>
      <c r="G77" s="23" t="s">
        <v>1188</v>
      </c>
      <c r="H77" s="24" t="s">
        <v>37</v>
      </c>
      <c r="I77" s="24" t="s">
        <v>71</v>
      </c>
      <c r="J77" s="25"/>
      <c r="K77" s="25"/>
      <c r="L77" s="23" t="str">
        <f>"237,5"</f>
        <v>237,5</v>
      </c>
      <c r="M77" s="24" t="str">
        <f>"230,4256"</f>
        <v>230,4256</v>
      </c>
      <c r="N77" s="23" t="s">
        <v>29</v>
      </c>
    </row>
    <row r="78" spans="1:14" ht="12.75">
      <c r="A78" s="12" t="s">
        <v>1545</v>
      </c>
      <c r="B78" s="12" t="s">
        <v>1895</v>
      </c>
      <c r="C78" s="12" t="s">
        <v>1546</v>
      </c>
      <c r="D78" s="12" t="s">
        <v>1547</v>
      </c>
      <c r="E78" s="12" t="str">
        <f>"0,6459"</f>
        <v>0,6459</v>
      </c>
      <c r="F78" s="12" t="s">
        <v>58</v>
      </c>
      <c r="G78" s="12" t="s">
        <v>1548</v>
      </c>
      <c r="H78" s="14" t="s">
        <v>61</v>
      </c>
      <c r="I78" s="14" t="s">
        <v>143</v>
      </c>
      <c r="J78" s="13" t="s">
        <v>714</v>
      </c>
      <c r="K78" s="13"/>
      <c r="L78" s="12" t="str">
        <f>"197,5"</f>
        <v>197,5</v>
      </c>
      <c r="M78" s="14" t="str">
        <f>"209,8448"</f>
        <v>209,8448</v>
      </c>
      <c r="N78" s="12" t="s">
        <v>1549</v>
      </c>
    </row>
    <row r="80" spans="1:14" ht="15">
      <c r="A80" s="48" t="s">
        <v>30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</row>
    <row r="81" spans="1:14" ht="12.75">
      <c r="A81" s="9" t="s">
        <v>1550</v>
      </c>
      <c r="B81" s="9" t="s">
        <v>1888</v>
      </c>
      <c r="C81" s="9" t="s">
        <v>1551</v>
      </c>
      <c r="D81" s="9" t="s">
        <v>1552</v>
      </c>
      <c r="E81" s="9" t="str">
        <f>"0,6191"</f>
        <v>0,6191</v>
      </c>
      <c r="F81" s="9" t="s">
        <v>34</v>
      </c>
      <c r="G81" s="27" t="s">
        <v>1630</v>
      </c>
      <c r="H81" s="10" t="s">
        <v>62</v>
      </c>
      <c r="I81" s="11" t="s">
        <v>64</v>
      </c>
      <c r="J81" s="10" t="s">
        <v>20</v>
      </c>
      <c r="K81" s="10"/>
      <c r="L81" s="9" t="str">
        <f>"200,0"</f>
        <v>200,0</v>
      </c>
      <c r="M81" s="11" t="str">
        <f>"123,8200"</f>
        <v>123,8200</v>
      </c>
      <c r="N81" s="9" t="s">
        <v>29</v>
      </c>
    </row>
    <row r="82" spans="1:14" ht="12.75">
      <c r="A82" s="23" t="s">
        <v>775</v>
      </c>
      <c r="B82" s="23" t="s">
        <v>1891</v>
      </c>
      <c r="C82" s="23" t="s">
        <v>776</v>
      </c>
      <c r="D82" s="23" t="s">
        <v>351</v>
      </c>
      <c r="E82" s="23" t="str">
        <f>"0,6086"</f>
        <v>0,6086</v>
      </c>
      <c r="F82" s="23" t="s">
        <v>18</v>
      </c>
      <c r="G82" s="23" t="s">
        <v>19</v>
      </c>
      <c r="H82" s="24" t="s">
        <v>22</v>
      </c>
      <c r="I82" s="25" t="s">
        <v>49</v>
      </c>
      <c r="J82" s="25" t="s">
        <v>49</v>
      </c>
      <c r="K82" s="25"/>
      <c r="L82" s="23" t="str">
        <f>"240,0"</f>
        <v>240,0</v>
      </c>
      <c r="M82" s="24" t="str">
        <f>"146,0640"</f>
        <v>146,0640</v>
      </c>
      <c r="N82" s="26" t="s">
        <v>1627</v>
      </c>
    </row>
    <row r="83" spans="1:14" ht="12.75">
      <c r="A83" s="23" t="s">
        <v>1553</v>
      </c>
      <c r="B83" s="23" t="s">
        <v>1892</v>
      </c>
      <c r="C83" s="23" t="s">
        <v>1172</v>
      </c>
      <c r="D83" s="23" t="s">
        <v>351</v>
      </c>
      <c r="E83" s="23" t="str">
        <f>"0,6086"</f>
        <v>0,6086</v>
      </c>
      <c r="F83" s="23" t="s">
        <v>18</v>
      </c>
      <c r="G83" s="23" t="s">
        <v>19</v>
      </c>
      <c r="H83" s="24" t="s">
        <v>64</v>
      </c>
      <c r="I83" s="24" t="s">
        <v>42</v>
      </c>
      <c r="J83" s="25" t="s">
        <v>60</v>
      </c>
      <c r="K83" s="25"/>
      <c r="L83" s="23" t="str">
        <f>"215,0"</f>
        <v>215,0</v>
      </c>
      <c r="M83" s="24" t="str">
        <f>"130,8490"</f>
        <v>130,8490</v>
      </c>
      <c r="N83" s="23" t="s">
        <v>1174</v>
      </c>
    </row>
    <row r="84" spans="1:14" ht="12.75">
      <c r="A84" s="23" t="s">
        <v>1554</v>
      </c>
      <c r="B84" s="23" t="s">
        <v>1892</v>
      </c>
      <c r="C84" s="23" t="s">
        <v>1555</v>
      </c>
      <c r="D84" s="23" t="s">
        <v>1556</v>
      </c>
      <c r="E84" s="23" t="str">
        <f>"0,6269"</f>
        <v>0,6269</v>
      </c>
      <c r="F84" s="23" t="s">
        <v>34</v>
      </c>
      <c r="G84" s="23" t="s">
        <v>622</v>
      </c>
      <c r="H84" s="25" t="s">
        <v>20</v>
      </c>
      <c r="I84" s="24" t="s">
        <v>20</v>
      </c>
      <c r="J84" s="25" t="s">
        <v>60</v>
      </c>
      <c r="K84" s="25"/>
      <c r="L84" s="23" t="str">
        <f>"210,0"</f>
        <v>210,0</v>
      </c>
      <c r="M84" s="24" t="str">
        <f>"131,6490"</f>
        <v>131,6490</v>
      </c>
      <c r="N84" s="23"/>
    </row>
    <row r="85" spans="1:14" ht="12.75">
      <c r="A85" s="23" t="s">
        <v>1557</v>
      </c>
      <c r="B85" s="23" t="s">
        <v>1887</v>
      </c>
      <c r="C85" s="23" t="s">
        <v>629</v>
      </c>
      <c r="D85" s="23" t="s">
        <v>1552</v>
      </c>
      <c r="E85" s="23" t="str">
        <f>"0,6191"</f>
        <v>0,6191</v>
      </c>
      <c r="F85" s="23" t="s">
        <v>18</v>
      </c>
      <c r="G85" s="23" t="s">
        <v>19</v>
      </c>
      <c r="H85" s="24" t="s">
        <v>115</v>
      </c>
      <c r="I85" s="24" t="s">
        <v>118</v>
      </c>
      <c r="J85" s="25" t="s">
        <v>61</v>
      </c>
      <c r="K85" s="25"/>
      <c r="L85" s="23" t="str">
        <f>"170,0"</f>
        <v>170,0</v>
      </c>
      <c r="M85" s="24" t="str">
        <f>"105,2470"</f>
        <v>105,2470</v>
      </c>
      <c r="N85" s="23" t="s">
        <v>631</v>
      </c>
    </row>
    <row r="86" spans="1:14" ht="12.75">
      <c r="A86" s="23" t="s">
        <v>1558</v>
      </c>
      <c r="B86" s="23" t="s">
        <v>1891</v>
      </c>
      <c r="C86" s="23" t="s">
        <v>1559</v>
      </c>
      <c r="D86" s="23" t="s">
        <v>187</v>
      </c>
      <c r="E86" s="23" t="str">
        <f>"0,6172"</f>
        <v>0,6172</v>
      </c>
      <c r="F86" s="23" t="s">
        <v>34</v>
      </c>
      <c r="G86" s="23" t="s">
        <v>1248</v>
      </c>
      <c r="H86" s="24" t="s">
        <v>72</v>
      </c>
      <c r="I86" s="24" t="s">
        <v>160</v>
      </c>
      <c r="J86" s="25" t="s">
        <v>513</v>
      </c>
      <c r="K86" s="25"/>
      <c r="L86" s="23" t="str">
        <f>"270,0"</f>
        <v>270,0</v>
      </c>
      <c r="M86" s="24" t="str">
        <f>"166,6440"</f>
        <v>166,6440</v>
      </c>
      <c r="N86" s="23" t="s">
        <v>1249</v>
      </c>
    </row>
    <row r="87" spans="1:14" ht="12.75">
      <c r="A87" s="23" t="s">
        <v>1560</v>
      </c>
      <c r="B87" s="23" t="s">
        <v>1891</v>
      </c>
      <c r="C87" s="23" t="s">
        <v>1561</v>
      </c>
      <c r="D87" s="23" t="s">
        <v>753</v>
      </c>
      <c r="E87" s="23" t="str">
        <f>"0,6098"</f>
        <v>0,6098</v>
      </c>
      <c r="F87" s="23" t="s">
        <v>18</v>
      </c>
      <c r="G87" s="23" t="s">
        <v>19</v>
      </c>
      <c r="H87" s="24" t="s">
        <v>49</v>
      </c>
      <c r="I87" s="24" t="s">
        <v>52</v>
      </c>
      <c r="J87" s="25" t="s">
        <v>53</v>
      </c>
      <c r="K87" s="25"/>
      <c r="L87" s="23" t="str">
        <f>"265,0"</f>
        <v>265,0</v>
      </c>
      <c r="M87" s="24" t="str">
        <f>"161,5970"</f>
        <v>161,5970</v>
      </c>
      <c r="N87" s="23" t="s">
        <v>1562</v>
      </c>
    </row>
    <row r="88" spans="1:14" ht="12.75">
      <c r="A88" s="23" t="s">
        <v>1563</v>
      </c>
      <c r="B88" s="23" t="s">
        <v>1892</v>
      </c>
      <c r="C88" s="23" t="s">
        <v>1564</v>
      </c>
      <c r="D88" s="23" t="s">
        <v>1565</v>
      </c>
      <c r="E88" s="23" t="str">
        <f>"0,6247"</f>
        <v>0,6247</v>
      </c>
      <c r="F88" s="23" t="s">
        <v>18</v>
      </c>
      <c r="G88" s="23" t="s">
        <v>19</v>
      </c>
      <c r="H88" s="24" t="s">
        <v>37</v>
      </c>
      <c r="I88" s="24" t="s">
        <v>60</v>
      </c>
      <c r="J88" s="25" t="s">
        <v>26</v>
      </c>
      <c r="K88" s="25"/>
      <c r="L88" s="23" t="str">
        <f>"230,0"</f>
        <v>230,0</v>
      </c>
      <c r="M88" s="24" t="str">
        <f>"143,6810"</f>
        <v>143,6810</v>
      </c>
      <c r="N88" s="23" t="s">
        <v>1566</v>
      </c>
    </row>
    <row r="89" spans="1:14" ht="12.75">
      <c r="A89" s="23" t="s">
        <v>1567</v>
      </c>
      <c r="B89" s="23" t="s">
        <v>1892</v>
      </c>
      <c r="C89" s="23" t="s">
        <v>1568</v>
      </c>
      <c r="D89" s="23" t="s">
        <v>342</v>
      </c>
      <c r="E89" s="23" t="str">
        <f>"0,6129"</f>
        <v>0,6129</v>
      </c>
      <c r="F89" s="23" t="s">
        <v>18</v>
      </c>
      <c r="G89" s="23" t="s">
        <v>19</v>
      </c>
      <c r="H89" s="24" t="s">
        <v>37</v>
      </c>
      <c r="I89" s="25" t="s">
        <v>60</v>
      </c>
      <c r="J89" s="25" t="s">
        <v>22</v>
      </c>
      <c r="K89" s="25"/>
      <c r="L89" s="23" t="str">
        <f>"220,0"</f>
        <v>220,0</v>
      </c>
      <c r="M89" s="24" t="str">
        <f>"134,8380"</f>
        <v>134,8380</v>
      </c>
      <c r="N89" s="23" t="s">
        <v>1075</v>
      </c>
    </row>
    <row r="90" spans="1:14" ht="12.75">
      <c r="A90" s="23" t="s">
        <v>1569</v>
      </c>
      <c r="B90" s="23" t="s">
        <v>1888</v>
      </c>
      <c r="C90" s="23" t="s">
        <v>1570</v>
      </c>
      <c r="D90" s="23" t="s">
        <v>1571</v>
      </c>
      <c r="E90" s="23" t="str">
        <f>"0,6266"</f>
        <v>0,6266</v>
      </c>
      <c r="F90" s="23" t="s">
        <v>34</v>
      </c>
      <c r="G90" s="23" t="s">
        <v>622</v>
      </c>
      <c r="H90" s="24" t="s">
        <v>152</v>
      </c>
      <c r="I90" s="24" t="s">
        <v>143</v>
      </c>
      <c r="J90" s="25" t="s">
        <v>20</v>
      </c>
      <c r="K90" s="25"/>
      <c r="L90" s="23" t="str">
        <f>"197,5"</f>
        <v>197,5</v>
      </c>
      <c r="M90" s="24" t="str">
        <f>"123,7535"</f>
        <v>123,7535</v>
      </c>
      <c r="N90" s="23" t="s">
        <v>1572</v>
      </c>
    </row>
    <row r="91" spans="1:14" ht="12.75">
      <c r="A91" s="12" t="s">
        <v>1573</v>
      </c>
      <c r="B91" s="12" t="s">
        <v>1891</v>
      </c>
      <c r="C91" s="12" t="s">
        <v>1574</v>
      </c>
      <c r="D91" s="12" t="s">
        <v>753</v>
      </c>
      <c r="E91" s="12" t="str">
        <f>"0,6098"</f>
        <v>0,6098</v>
      </c>
      <c r="F91" s="12" t="s">
        <v>18</v>
      </c>
      <c r="G91" s="12" t="s">
        <v>19</v>
      </c>
      <c r="H91" s="14" t="s">
        <v>20</v>
      </c>
      <c r="I91" s="14" t="s">
        <v>37</v>
      </c>
      <c r="J91" s="14" t="s">
        <v>60</v>
      </c>
      <c r="K91" s="13"/>
      <c r="L91" s="12" t="str">
        <f>"230,0"</f>
        <v>230,0</v>
      </c>
      <c r="M91" s="14" t="str">
        <f>"144,6019"</f>
        <v>144,6019</v>
      </c>
      <c r="N91" s="12" t="s">
        <v>1203</v>
      </c>
    </row>
    <row r="93" spans="1:14" ht="15">
      <c r="A93" s="48" t="s">
        <v>45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</row>
    <row r="94" spans="1:14" ht="12.75">
      <c r="A94" s="9" t="s">
        <v>1576</v>
      </c>
      <c r="B94" s="9" t="s">
        <v>1895</v>
      </c>
      <c r="C94" s="9" t="s">
        <v>1577</v>
      </c>
      <c r="D94" s="9" t="s">
        <v>193</v>
      </c>
      <c r="E94" s="9" t="str">
        <f>"0,5910"</f>
        <v>0,5910</v>
      </c>
      <c r="F94" s="9" t="s">
        <v>18</v>
      </c>
      <c r="G94" s="9" t="s">
        <v>19</v>
      </c>
      <c r="H94" s="11" t="s">
        <v>160</v>
      </c>
      <c r="I94" s="11" t="s">
        <v>175</v>
      </c>
      <c r="J94" s="11" t="s">
        <v>178</v>
      </c>
      <c r="K94" s="10"/>
      <c r="L94" s="9" t="str">
        <f>"287,5"</f>
        <v>287,5</v>
      </c>
      <c r="M94" s="11" t="str">
        <f>"169,9125"</f>
        <v>169,9125</v>
      </c>
      <c r="N94" s="9" t="s">
        <v>1578</v>
      </c>
    </row>
    <row r="95" spans="1:14" ht="12.75">
      <c r="A95" s="23" t="s">
        <v>1579</v>
      </c>
      <c r="B95" s="23" t="s">
        <v>1891</v>
      </c>
      <c r="C95" s="23" t="s">
        <v>1580</v>
      </c>
      <c r="D95" s="23" t="s">
        <v>1581</v>
      </c>
      <c r="E95" s="23" t="str">
        <f>"0,6055"</f>
        <v>0,6055</v>
      </c>
      <c r="F95" s="23" t="s">
        <v>34</v>
      </c>
      <c r="G95" s="23" t="s">
        <v>352</v>
      </c>
      <c r="H95" s="24" t="s">
        <v>49</v>
      </c>
      <c r="I95" s="24" t="s">
        <v>72</v>
      </c>
      <c r="J95" s="24" t="s">
        <v>52</v>
      </c>
      <c r="K95" s="25"/>
      <c r="L95" s="23" t="str">
        <f>"265,0"</f>
        <v>265,0</v>
      </c>
      <c r="M95" s="24" t="str">
        <f>"160,4575"</f>
        <v>160,4575</v>
      </c>
      <c r="N95" s="23" t="s">
        <v>353</v>
      </c>
    </row>
    <row r="96" spans="1:14" ht="12.75">
      <c r="A96" s="23" t="s">
        <v>1582</v>
      </c>
      <c r="B96" s="23" t="s">
        <v>1891</v>
      </c>
      <c r="C96" s="23" t="s">
        <v>1583</v>
      </c>
      <c r="D96" s="23" t="s">
        <v>1584</v>
      </c>
      <c r="E96" s="23" t="str">
        <f>"0,5994"</f>
        <v>0,5994</v>
      </c>
      <c r="F96" s="23" t="s">
        <v>18</v>
      </c>
      <c r="G96" s="23" t="s">
        <v>18</v>
      </c>
      <c r="H96" s="24" t="s">
        <v>22</v>
      </c>
      <c r="I96" s="24" t="s">
        <v>49</v>
      </c>
      <c r="J96" s="25" t="s">
        <v>72</v>
      </c>
      <c r="K96" s="25"/>
      <c r="L96" s="23" t="str">
        <f>"250,0"</f>
        <v>250,0</v>
      </c>
      <c r="M96" s="24" t="str">
        <f>"149,8500"</f>
        <v>149,8500</v>
      </c>
      <c r="N96" s="23" t="s">
        <v>29</v>
      </c>
    </row>
    <row r="97" spans="1:14" ht="12.75">
      <c r="A97" s="23" t="s">
        <v>1585</v>
      </c>
      <c r="B97" s="23" t="s">
        <v>1891</v>
      </c>
      <c r="C97" s="23" t="s">
        <v>1586</v>
      </c>
      <c r="D97" s="23" t="s">
        <v>1581</v>
      </c>
      <c r="E97" s="23" t="str">
        <f>"0,6055"</f>
        <v>0,6055</v>
      </c>
      <c r="F97" s="23" t="s">
        <v>18</v>
      </c>
      <c r="G97" s="23" t="s">
        <v>19</v>
      </c>
      <c r="H97" s="24" t="s">
        <v>37</v>
      </c>
      <c r="I97" s="24" t="s">
        <v>60</v>
      </c>
      <c r="J97" s="25" t="s">
        <v>49</v>
      </c>
      <c r="K97" s="25"/>
      <c r="L97" s="23" t="str">
        <f>"230,0"</f>
        <v>230,0</v>
      </c>
      <c r="M97" s="24" t="str">
        <f>"139,2650"</f>
        <v>139,2650</v>
      </c>
      <c r="N97" s="23" t="s">
        <v>1587</v>
      </c>
    </row>
    <row r="98" spans="1:14" ht="12.75">
      <c r="A98" s="23" t="s">
        <v>1588</v>
      </c>
      <c r="B98" s="23" t="s">
        <v>1892</v>
      </c>
      <c r="C98" s="23" t="s">
        <v>1589</v>
      </c>
      <c r="D98" s="23" t="s">
        <v>1273</v>
      </c>
      <c r="E98" s="23" t="str">
        <f>"0,5932"</f>
        <v>0,5932</v>
      </c>
      <c r="F98" s="23" t="s">
        <v>18</v>
      </c>
      <c r="G98" s="23" t="s">
        <v>622</v>
      </c>
      <c r="H98" s="24" t="s">
        <v>60</v>
      </c>
      <c r="I98" s="25" t="s">
        <v>70</v>
      </c>
      <c r="J98" s="25" t="s">
        <v>70</v>
      </c>
      <c r="K98" s="25"/>
      <c r="L98" s="23" t="str">
        <f>"230,0"</f>
        <v>230,0</v>
      </c>
      <c r="M98" s="24" t="str">
        <f>"136,4360"</f>
        <v>136,4360</v>
      </c>
      <c r="N98" s="23" t="s">
        <v>29</v>
      </c>
    </row>
    <row r="99" spans="1:14" ht="12.75">
      <c r="A99" s="23" t="s">
        <v>1260</v>
      </c>
      <c r="B99" s="23" t="s">
        <v>1892</v>
      </c>
      <c r="C99" s="23" t="s">
        <v>1261</v>
      </c>
      <c r="D99" s="23" t="s">
        <v>1262</v>
      </c>
      <c r="E99" s="23" t="str">
        <f>"0,5972"</f>
        <v>0,5972</v>
      </c>
      <c r="F99" s="23" t="s">
        <v>18</v>
      </c>
      <c r="G99" s="23" t="s">
        <v>19</v>
      </c>
      <c r="H99" s="24" t="s">
        <v>64</v>
      </c>
      <c r="I99" s="24" t="s">
        <v>42</v>
      </c>
      <c r="J99" s="25"/>
      <c r="K99" s="25"/>
      <c r="L99" s="23" t="str">
        <f>"215,0"</f>
        <v>215,0</v>
      </c>
      <c r="M99" s="24" t="str">
        <f>"128,3980"</f>
        <v>128,3980</v>
      </c>
      <c r="N99" s="23" t="s">
        <v>135</v>
      </c>
    </row>
    <row r="100" spans="1:14" ht="12.75">
      <c r="A100" s="12" t="s">
        <v>1590</v>
      </c>
      <c r="B100" s="12" t="s">
        <v>1888</v>
      </c>
      <c r="C100" s="12" t="s">
        <v>1591</v>
      </c>
      <c r="D100" s="12" t="s">
        <v>1592</v>
      </c>
      <c r="E100" s="12" t="str">
        <f>"0,6057"</f>
        <v>0,6057</v>
      </c>
      <c r="F100" s="12" t="s">
        <v>34</v>
      </c>
      <c r="G100" s="12" t="s">
        <v>183</v>
      </c>
      <c r="H100" s="14" t="s">
        <v>118</v>
      </c>
      <c r="I100" s="14" t="s">
        <v>61</v>
      </c>
      <c r="J100" s="14" t="s">
        <v>62</v>
      </c>
      <c r="K100" s="13"/>
      <c r="L100" s="12" t="str">
        <f>"190,0"</f>
        <v>190,0</v>
      </c>
      <c r="M100" s="14" t="str">
        <f>"116,2338"</f>
        <v>116,2338</v>
      </c>
      <c r="N100" s="12" t="s">
        <v>29</v>
      </c>
    </row>
    <row r="102" spans="1:14" ht="15">
      <c r="A102" s="48" t="s">
        <v>206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3" spans="1:14" ht="12.75">
      <c r="A103" s="9" t="s">
        <v>1593</v>
      </c>
      <c r="B103" s="9" t="s">
        <v>1891</v>
      </c>
      <c r="C103" s="9" t="s">
        <v>1594</v>
      </c>
      <c r="D103" s="9" t="s">
        <v>1595</v>
      </c>
      <c r="E103" s="9" t="str">
        <f>"0,5847"</f>
        <v>0,5847</v>
      </c>
      <c r="F103" s="9" t="s">
        <v>1596</v>
      </c>
      <c r="G103" s="9" t="s">
        <v>1597</v>
      </c>
      <c r="H103" s="11" t="s">
        <v>28</v>
      </c>
      <c r="I103" s="11" t="s">
        <v>487</v>
      </c>
      <c r="J103" s="10" t="s">
        <v>175</v>
      </c>
      <c r="K103" s="10"/>
      <c r="L103" s="9" t="str">
        <f>"272,5"</f>
        <v>272,5</v>
      </c>
      <c r="M103" s="11" t="str">
        <f>"159,3307"</f>
        <v>159,3307</v>
      </c>
      <c r="N103" s="9" t="s">
        <v>29</v>
      </c>
    </row>
    <row r="104" spans="1:14" ht="12.75">
      <c r="A104" s="12" t="s">
        <v>1598</v>
      </c>
      <c r="B104" s="12" t="s">
        <v>1891</v>
      </c>
      <c r="C104" s="12" t="s">
        <v>1599</v>
      </c>
      <c r="D104" s="12" t="s">
        <v>1600</v>
      </c>
      <c r="E104" s="12" t="str">
        <f>"0,5869"</f>
        <v>0,5869</v>
      </c>
      <c r="F104" s="12" t="s">
        <v>18</v>
      </c>
      <c r="G104" s="12" t="s">
        <v>18</v>
      </c>
      <c r="H104" s="14" t="s">
        <v>60</v>
      </c>
      <c r="I104" s="14" t="s">
        <v>22</v>
      </c>
      <c r="J104" s="13"/>
      <c r="K104" s="13"/>
      <c r="L104" s="12" t="str">
        <f>"240,0"</f>
        <v>240,0</v>
      </c>
      <c r="M104" s="14" t="str">
        <f>"148,6031"</f>
        <v>148,6031</v>
      </c>
      <c r="N104" s="12" t="s">
        <v>1203</v>
      </c>
    </row>
    <row r="106" ht="15">
      <c r="F106" s="15" t="s">
        <v>74</v>
      </c>
    </row>
    <row r="107" ht="15">
      <c r="F107" s="15" t="s">
        <v>75</v>
      </c>
    </row>
    <row r="108" ht="15">
      <c r="F108" s="15" t="s">
        <v>76</v>
      </c>
    </row>
    <row r="109" ht="15">
      <c r="F109" s="15" t="s">
        <v>77</v>
      </c>
    </row>
    <row r="110" ht="15">
      <c r="F110" s="15" t="s">
        <v>77</v>
      </c>
    </row>
    <row r="111" ht="15">
      <c r="F111" s="15" t="s">
        <v>78</v>
      </c>
    </row>
    <row r="112" ht="15">
      <c r="F112" s="15"/>
    </row>
    <row r="114" spans="1:3" ht="18">
      <c r="A114" s="16" t="s">
        <v>79</v>
      </c>
      <c r="B114" s="16"/>
      <c r="C114" s="16"/>
    </row>
    <row r="115" spans="1:3" ht="15">
      <c r="A115" s="17" t="s">
        <v>223</v>
      </c>
      <c r="B115" s="17"/>
      <c r="C115" s="17"/>
    </row>
    <row r="116" spans="1:3" ht="14.25">
      <c r="A116" s="19"/>
      <c r="B116" s="19"/>
      <c r="C116" s="20" t="s">
        <v>81</v>
      </c>
    </row>
    <row r="117" spans="1:6" ht="15">
      <c r="A117" s="21" t="s">
        <v>82</v>
      </c>
      <c r="B117" s="21"/>
      <c r="C117" s="21" t="s">
        <v>83</v>
      </c>
      <c r="D117" s="21" t="s">
        <v>84</v>
      </c>
      <c r="E117" s="21" t="s">
        <v>85</v>
      </c>
      <c r="F117" s="21" t="s">
        <v>86</v>
      </c>
    </row>
    <row r="118" spans="1:6" ht="12.75">
      <c r="A118" s="18" t="s">
        <v>1405</v>
      </c>
      <c r="B118" s="18"/>
      <c r="C118" s="5" t="s">
        <v>81</v>
      </c>
      <c r="D118" s="5" t="s">
        <v>225</v>
      </c>
      <c r="E118" s="5" t="s">
        <v>39</v>
      </c>
      <c r="F118" s="22" t="s">
        <v>1601</v>
      </c>
    </row>
    <row r="121" spans="1:3" ht="15">
      <c r="A121" s="17" t="s">
        <v>80</v>
      </c>
      <c r="B121" s="17"/>
      <c r="C121" s="17"/>
    </row>
    <row r="122" spans="1:3" ht="14.25">
      <c r="A122" s="19"/>
      <c r="B122" s="19"/>
      <c r="C122" s="20" t="s">
        <v>226</v>
      </c>
    </row>
    <row r="123" spans="1:6" ht="15">
      <c r="A123" s="21" t="s">
        <v>82</v>
      </c>
      <c r="B123" s="21"/>
      <c r="C123" s="21" t="s">
        <v>83</v>
      </c>
      <c r="D123" s="21" t="s">
        <v>84</v>
      </c>
      <c r="E123" s="21" t="s">
        <v>85</v>
      </c>
      <c r="F123" s="21" t="s">
        <v>86</v>
      </c>
    </row>
    <row r="124" spans="1:6" ht="12.75">
      <c r="A124" s="18" t="s">
        <v>1457</v>
      </c>
      <c r="B124" s="18"/>
      <c r="C124" s="5" t="s">
        <v>227</v>
      </c>
      <c r="D124" s="5" t="s">
        <v>125</v>
      </c>
      <c r="E124" s="5" t="s">
        <v>71</v>
      </c>
      <c r="F124" s="22" t="s">
        <v>1602</v>
      </c>
    </row>
    <row r="126" spans="1:3" ht="14.25">
      <c r="A126" s="19"/>
      <c r="B126" s="19"/>
      <c r="C126" s="20" t="s">
        <v>81</v>
      </c>
    </row>
    <row r="127" spans="1:6" ht="15">
      <c r="A127" s="21" t="s">
        <v>82</v>
      </c>
      <c r="B127" s="21"/>
      <c r="C127" s="21" t="s">
        <v>83</v>
      </c>
      <c r="D127" s="21" t="s">
        <v>84</v>
      </c>
      <c r="E127" s="21" t="s">
        <v>85</v>
      </c>
      <c r="F127" s="21" t="s">
        <v>86</v>
      </c>
    </row>
    <row r="128" spans="1:6" ht="12.75">
      <c r="A128" s="18" t="s">
        <v>1484</v>
      </c>
      <c r="B128" s="18"/>
      <c r="C128" s="5" t="s">
        <v>81</v>
      </c>
      <c r="D128" s="5" t="s">
        <v>87</v>
      </c>
      <c r="E128" s="5" t="s">
        <v>444</v>
      </c>
      <c r="F128" s="22" t="s">
        <v>1603</v>
      </c>
    </row>
    <row r="129" spans="1:6" ht="12.75">
      <c r="A129" s="18" t="s">
        <v>1575</v>
      </c>
      <c r="B129" s="18"/>
      <c r="C129" s="5" t="s">
        <v>81</v>
      </c>
      <c r="D129" s="5" t="s">
        <v>90</v>
      </c>
      <c r="E129" s="5" t="s">
        <v>178</v>
      </c>
      <c r="F129" s="22" t="s">
        <v>1604</v>
      </c>
    </row>
    <row r="130" spans="1:6" ht="12.75">
      <c r="A130" s="18" t="s">
        <v>1111</v>
      </c>
      <c r="B130" s="18"/>
      <c r="C130" s="5" t="s">
        <v>81</v>
      </c>
      <c r="D130" s="5" t="s">
        <v>232</v>
      </c>
      <c r="E130" s="5" t="s">
        <v>52</v>
      </c>
      <c r="F130" s="22" t="s">
        <v>1605</v>
      </c>
    </row>
    <row r="132" spans="1:3" ht="14.25">
      <c r="A132" s="19"/>
      <c r="B132" s="19"/>
      <c r="C132" s="20" t="s">
        <v>233</v>
      </c>
    </row>
    <row r="133" spans="1:6" ht="15">
      <c r="A133" s="21" t="s">
        <v>82</v>
      </c>
      <c r="B133" s="21"/>
      <c r="C133" s="21" t="s">
        <v>83</v>
      </c>
      <c r="D133" s="21" t="s">
        <v>84</v>
      </c>
      <c r="E133" s="21" t="s">
        <v>85</v>
      </c>
      <c r="F133" s="21" t="s">
        <v>86</v>
      </c>
    </row>
    <row r="134" spans="1:6" ht="12.75">
      <c r="A134" s="18" t="s">
        <v>1479</v>
      </c>
      <c r="B134" s="18"/>
      <c r="C134" s="5" t="s">
        <v>1606</v>
      </c>
      <c r="D134" s="5" t="s">
        <v>125</v>
      </c>
      <c r="E134" s="5" t="s">
        <v>61</v>
      </c>
      <c r="F134" s="22" t="s">
        <v>1607</v>
      </c>
    </row>
    <row r="135" spans="1:6" ht="12.75">
      <c r="A135" s="18" t="s">
        <v>1540</v>
      </c>
      <c r="B135" s="18"/>
      <c r="C135" s="5" t="s">
        <v>1341</v>
      </c>
      <c r="D135" s="5" t="s">
        <v>232</v>
      </c>
      <c r="E135" s="5" t="s">
        <v>71</v>
      </c>
      <c r="F135" s="22" t="s">
        <v>1608</v>
      </c>
    </row>
    <row r="136" spans="1:6" ht="12.75">
      <c r="A136" s="18" t="s">
        <v>1544</v>
      </c>
      <c r="B136" s="18"/>
      <c r="C136" s="5" t="s">
        <v>1609</v>
      </c>
      <c r="D136" s="5" t="s">
        <v>232</v>
      </c>
      <c r="E136" s="5" t="s">
        <v>143</v>
      </c>
      <c r="F136" s="22" t="s">
        <v>1610</v>
      </c>
    </row>
  </sheetData>
  <sheetProtection/>
  <mergeCells count="26">
    <mergeCell ref="A3:A4"/>
    <mergeCell ref="C3:C4"/>
    <mergeCell ref="D3:D4"/>
    <mergeCell ref="E3:E4"/>
    <mergeCell ref="F3:F4"/>
    <mergeCell ref="G3:G4"/>
    <mergeCell ref="H3:K3"/>
    <mergeCell ref="B3:B4"/>
    <mergeCell ref="A1:N2"/>
    <mergeCell ref="L3:L4"/>
    <mergeCell ref="M3:M4"/>
    <mergeCell ref="N3:N4"/>
    <mergeCell ref="A28:N28"/>
    <mergeCell ref="A22:N22"/>
    <mergeCell ref="A17:N17"/>
    <mergeCell ref="A12:N12"/>
    <mergeCell ref="A8:N8"/>
    <mergeCell ref="A5:N5"/>
    <mergeCell ref="A42:N42"/>
    <mergeCell ref="A55:N55"/>
    <mergeCell ref="A37:N37"/>
    <mergeCell ref="A33:N33"/>
    <mergeCell ref="A80:N80"/>
    <mergeCell ref="A66:N66"/>
    <mergeCell ref="A102:N102"/>
    <mergeCell ref="A93:N9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625" style="5" customWidth="1"/>
    <col min="3" max="3" width="29.753906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2.75390625" style="5" bestFit="1" customWidth="1"/>
    <col min="8" max="10" width="5.625" style="4" bestFit="1" customWidth="1"/>
    <col min="11" max="11" width="4.875" style="4" bestFit="1" customWidth="1"/>
    <col min="12" max="12" width="10.75390625" style="5" customWidth="1"/>
    <col min="13" max="13" width="8.625" style="4" bestFit="1" customWidth="1"/>
    <col min="14" max="14" width="14.875" style="5" bestFit="1" customWidth="1"/>
    <col min="15" max="16384" width="9.125" style="4" customWidth="1"/>
  </cols>
  <sheetData>
    <row r="1" spans="1:14" s="3" customFormat="1" ht="28.5" customHeight="1">
      <c r="A1" s="38" t="s">
        <v>1624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3</v>
      </c>
      <c r="I3" s="30"/>
      <c r="J3" s="30"/>
      <c r="K3" s="30"/>
      <c r="L3" s="30" t="s">
        <v>433</v>
      </c>
      <c r="M3" s="30" t="s">
        <v>6</v>
      </c>
      <c r="N3" s="32" t="s">
        <v>5</v>
      </c>
    </row>
    <row r="4" spans="1:14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31"/>
      <c r="M4" s="31"/>
      <c r="N4" s="33"/>
    </row>
    <row r="5" spans="1:14" ht="15">
      <c r="A5" s="49" t="s">
        <v>649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2.75">
      <c r="A6" s="6" t="s">
        <v>1611</v>
      </c>
      <c r="B6" s="6" t="s">
        <v>1888</v>
      </c>
      <c r="C6" s="6" t="s">
        <v>1612</v>
      </c>
      <c r="D6" s="6" t="s">
        <v>840</v>
      </c>
      <c r="E6" s="6" t="str">
        <f>"1,2578"</f>
        <v>1,2578</v>
      </c>
      <c r="F6" s="6" t="s">
        <v>34</v>
      </c>
      <c r="G6" s="6" t="s">
        <v>1206</v>
      </c>
      <c r="H6" s="7" t="s">
        <v>282</v>
      </c>
      <c r="I6" s="7" t="s">
        <v>232</v>
      </c>
      <c r="J6" s="7" t="s">
        <v>133</v>
      </c>
      <c r="K6" s="8"/>
      <c r="L6" s="6" t="str">
        <f>"95,0"</f>
        <v>95,0</v>
      </c>
      <c r="M6" s="7" t="str">
        <f>"119,4910"</f>
        <v>119,4910</v>
      </c>
      <c r="N6" s="6" t="s">
        <v>1613</v>
      </c>
    </row>
    <row r="8" spans="1:14" ht="15">
      <c r="A8" s="48" t="s">
        <v>13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2.75">
      <c r="A9" s="9" t="s">
        <v>1614</v>
      </c>
      <c r="B9" s="9" t="s">
        <v>1891</v>
      </c>
      <c r="C9" s="9" t="s">
        <v>1615</v>
      </c>
      <c r="D9" s="9" t="s">
        <v>142</v>
      </c>
      <c r="E9" s="9" t="str">
        <f>"0,6749"</f>
        <v>0,6749</v>
      </c>
      <c r="F9" s="9" t="s">
        <v>34</v>
      </c>
      <c r="G9" s="9" t="s">
        <v>521</v>
      </c>
      <c r="H9" s="11" t="s">
        <v>43</v>
      </c>
      <c r="I9" s="11" t="s">
        <v>444</v>
      </c>
      <c r="J9" s="10" t="s">
        <v>522</v>
      </c>
      <c r="K9" s="10"/>
      <c r="L9" s="9" t="str">
        <f>"262,5"</f>
        <v>262,5</v>
      </c>
      <c r="M9" s="11" t="str">
        <f>"177,1612"</f>
        <v>177,1612</v>
      </c>
      <c r="N9" s="9" t="s">
        <v>29</v>
      </c>
    </row>
    <row r="10" spans="1:14" ht="12.75">
      <c r="A10" s="12" t="s">
        <v>1616</v>
      </c>
      <c r="B10" s="12" t="s">
        <v>1895</v>
      </c>
      <c r="C10" s="12" t="s">
        <v>1617</v>
      </c>
      <c r="D10" s="12" t="s">
        <v>1618</v>
      </c>
      <c r="E10" s="12" t="str">
        <f>"0,6729"</f>
        <v>0,6729</v>
      </c>
      <c r="F10" s="12" t="s">
        <v>58</v>
      </c>
      <c r="G10" s="12" t="s">
        <v>1359</v>
      </c>
      <c r="H10" s="14" t="s">
        <v>20</v>
      </c>
      <c r="I10" s="14" t="s">
        <v>60</v>
      </c>
      <c r="J10" s="13" t="s">
        <v>22</v>
      </c>
      <c r="K10" s="13"/>
      <c r="L10" s="12" t="str">
        <f>"230,0"</f>
        <v>230,0</v>
      </c>
      <c r="M10" s="14" t="str">
        <f>"238,8055"</f>
        <v>238,8055</v>
      </c>
      <c r="N10" s="12" t="s">
        <v>29</v>
      </c>
    </row>
    <row r="12" spans="1:14" ht="15">
      <c r="A12" s="48" t="s">
        <v>155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2.75">
      <c r="A13" s="9" t="s">
        <v>1619</v>
      </c>
      <c r="B13" s="9" t="s">
        <v>1891</v>
      </c>
      <c r="C13" s="9" t="s">
        <v>1620</v>
      </c>
      <c r="D13" s="9" t="s">
        <v>498</v>
      </c>
      <c r="E13" s="9" t="str">
        <f>"0,6479"</f>
        <v>0,6479</v>
      </c>
      <c r="F13" s="9" t="s">
        <v>18</v>
      </c>
      <c r="G13" s="9" t="s">
        <v>19</v>
      </c>
      <c r="H13" s="10" t="s">
        <v>28</v>
      </c>
      <c r="I13" s="10" t="s">
        <v>28</v>
      </c>
      <c r="J13" s="11" t="s">
        <v>28</v>
      </c>
      <c r="K13" s="10"/>
      <c r="L13" s="9" t="str">
        <f>"255,0"</f>
        <v>255,0</v>
      </c>
      <c r="M13" s="11" t="str">
        <f>"165,2145"</f>
        <v>165,2145</v>
      </c>
      <c r="N13" s="9" t="s">
        <v>29</v>
      </c>
    </row>
    <row r="14" spans="1:14" ht="12.75">
      <c r="A14" s="12" t="s">
        <v>1621</v>
      </c>
      <c r="B14" s="12" t="s">
        <v>1895</v>
      </c>
      <c r="C14" s="12" t="s">
        <v>1622</v>
      </c>
      <c r="D14" s="12" t="s">
        <v>1623</v>
      </c>
      <c r="E14" s="12" t="str">
        <f>"0,6413"</f>
        <v>0,6413</v>
      </c>
      <c r="F14" s="12" t="s">
        <v>745</v>
      </c>
      <c r="G14" s="12" t="s">
        <v>746</v>
      </c>
      <c r="H14" s="14" t="s">
        <v>20</v>
      </c>
      <c r="I14" s="14" t="s">
        <v>37</v>
      </c>
      <c r="J14" s="14" t="s">
        <v>21</v>
      </c>
      <c r="K14" s="13"/>
      <c r="L14" s="12" t="str">
        <f>"225,0"</f>
        <v>225,0</v>
      </c>
      <c r="M14" s="14" t="str">
        <f>"144,2925"</f>
        <v>144,2925</v>
      </c>
      <c r="N14" s="12" t="s">
        <v>29</v>
      </c>
    </row>
    <row r="16" ht="15">
      <c r="F16" s="15" t="s">
        <v>74</v>
      </c>
    </row>
    <row r="17" ht="15">
      <c r="F17" s="15" t="s">
        <v>75</v>
      </c>
    </row>
    <row r="18" ht="15">
      <c r="F18" s="15" t="s">
        <v>76</v>
      </c>
    </row>
    <row r="19" ht="15">
      <c r="F19" s="15" t="s">
        <v>77</v>
      </c>
    </row>
    <row r="20" ht="15">
      <c r="F20" s="15" t="s">
        <v>77</v>
      </c>
    </row>
    <row r="21" ht="15">
      <c r="F21" s="15" t="s">
        <v>78</v>
      </c>
    </row>
    <row r="22" ht="15">
      <c r="F22" s="15"/>
    </row>
  </sheetData>
  <sheetProtection/>
  <mergeCells count="15">
    <mergeCell ref="A12:N12"/>
    <mergeCell ref="A8:N8"/>
    <mergeCell ref="A5:N5"/>
    <mergeCell ref="G3:G4"/>
    <mergeCell ref="H3:K3"/>
    <mergeCell ref="L3:L4"/>
    <mergeCell ref="M3:M4"/>
    <mergeCell ref="A1:N2"/>
    <mergeCell ref="B3:B4"/>
    <mergeCell ref="N3:N4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80" zoomScaleNormal="80" zoomScalePageLayoutView="0" workbookViewId="0" topLeftCell="A1">
      <selection activeCell="B3" sqref="B3:B4"/>
    </sheetView>
  </sheetViews>
  <sheetFormatPr defaultColWidth="9.00390625" defaultRowHeight="12.75"/>
  <cols>
    <col min="1" max="1" width="26.00390625" style="5" bestFit="1" customWidth="1"/>
    <col min="2" max="2" width="16.25390625" style="5" customWidth="1"/>
    <col min="3" max="3" width="22.87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1.375" style="5" bestFit="1" customWidth="1"/>
    <col min="8" max="14" width="5.625" style="4" bestFit="1" customWidth="1"/>
    <col min="15" max="15" width="4.875" style="4" bestFit="1" customWidth="1"/>
    <col min="16" max="18" width="5.625" style="4" bestFit="1" customWidth="1"/>
    <col min="19" max="19" width="4.875" style="4" bestFit="1" customWidth="1"/>
    <col min="20" max="20" width="7.875" style="5" bestFit="1" customWidth="1"/>
    <col min="21" max="21" width="8.625" style="4" bestFit="1" customWidth="1"/>
    <col min="22" max="22" width="16.125" style="5" bestFit="1" customWidth="1"/>
    <col min="23" max="16384" width="9.125" style="4" customWidth="1"/>
  </cols>
  <sheetData>
    <row r="1" spans="1:22" s="3" customFormat="1" ht="28.5" customHeight="1">
      <c r="A1" s="38" t="s">
        <v>1649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22" s="3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</row>
    <row r="3" spans="1:22" s="1" customFormat="1" ht="12.75" customHeight="1">
      <c r="A3" s="34" t="s">
        <v>0</v>
      </c>
      <c r="B3" s="46" t="s">
        <v>1894</v>
      </c>
      <c r="C3" s="36" t="s">
        <v>9</v>
      </c>
      <c r="D3" s="36" t="s">
        <v>11</v>
      </c>
      <c r="E3" s="30" t="s">
        <v>12</v>
      </c>
      <c r="F3" s="30" t="s">
        <v>7</v>
      </c>
      <c r="G3" s="30" t="s">
        <v>10</v>
      </c>
      <c r="H3" s="30" t="s">
        <v>1</v>
      </c>
      <c r="I3" s="30"/>
      <c r="J3" s="30"/>
      <c r="K3" s="30"/>
      <c r="L3" s="30" t="s">
        <v>2</v>
      </c>
      <c r="M3" s="30"/>
      <c r="N3" s="30"/>
      <c r="O3" s="30"/>
      <c r="P3" s="30" t="s">
        <v>3</v>
      </c>
      <c r="Q3" s="30"/>
      <c r="R3" s="30"/>
      <c r="S3" s="30"/>
      <c r="T3" s="30" t="s">
        <v>4</v>
      </c>
      <c r="U3" s="30" t="s">
        <v>6</v>
      </c>
      <c r="V3" s="32" t="s">
        <v>5</v>
      </c>
    </row>
    <row r="4" spans="1:22" s="1" customFormat="1" ht="21" customHeight="1" thickBot="1">
      <c r="A4" s="35"/>
      <c r="B4" s="47"/>
      <c r="C4" s="31"/>
      <c r="D4" s="31"/>
      <c r="E4" s="31"/>
      <c r="F4" s="31"/>
      <c r="G4" s="31"/>
      <c r="H4" s="2">
        <v>1</v>
      </c>
      <c r="I4" s="2">
        <v>2</v>
      </c>
      <c r="J4" s="2">
        <v>3</v>
      </c>
      <c r="K4" s="2" t="s">
        <v>8</v>
      </c>
      <c r="L4" s="2">
        <v>1</v>
      </c>
      <c r="M4" s="2">
        <v>2</v>
      </c>
      <c r="N4" s="2">
        <v>3</v>
      </c>
      <c r="O4" s="2" t="s">
        <v>8</v>
      </c>
      <c r="P4" s="2">
        <v>1</v>
      </c>
      <c r="Q4" s="2">
        <v>2</v>
      </c>
      <c r="R4" s="2">
        <v>3</v>
      </c>
      <c r="S4" s="2" t="s">
        <v>8</v>
      </c>
      <c r="T4" s="31"/>
      <c r="U4" s="31"/>
      <c r="V4" s="33"/>
    </row>
    <row r="5" spans="1:22" ht="15">
      <c r="A5" s="49" t="s">
        <v>13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2.75">
      <c r="A6" s="6" t="s">
        <v>15</v>
      </c>
      <c r="B6" s="6" t="s">
        <v>1891</v>
      </c>
      <c r="C6" s="6" t="s">
        <v>16</v>
      </c>
      <c r="D6" s="6" t="s">
        <v>17</v>
      </c>
      <c r="E6" s="6" t="str">
        <f>"0,6699"</f>
        <v>0,6699</v>
      </c>
      <c r="F6" s="6" t="s">
        <v>18</v>
      </c>
      <c r="G6" s="6" t="s">
        <v>19</v>
      </c>
      <c r="H6" s="7" t="s">
        <v>20</v>
      </c>
      <c r="I6" s="7" t="s">
        <v>21</v>
      </c>
      <c r="J6" s="7" t="s">
        <v>22</v>
      </c>
      <c r="K6" s="8"/>
      <c r="L6" s="7" t="s">
        <v>23</v>
      </c>
      <c r="M6" s="7" t="s">
        <v>24</v>
      </c>
      <c r="N6" s="7" t="s">
        <v>25</v>
      </c>
      <c r="O6" s="8"/>
      <c r="P6" s="7" t="s">
        <v>26</v>
      </c>
      <c r="Q6" s="7" t="s">
        <v>27</v>
      </c>
      <c r="R6" s="8" t="s">
        <v>28</v>
      </c>
      <c r="S6" s="8"/>
      <c r="T6" s="6" t="str">
        <f>"650,0"</f>
        <v>650,0</v>
      </c>
      <c r="U6" s="7" t="str">
        <f>"435,4350"</f>
        <v>435,4350</v>
      </c>
      <c r="V6" s="6" t="s">
        <v>29</v>
      </c>
    </row>
    <row r="8" spans="1:22" ht="15">
      <c r="A8" s="48" t="s">
        <v>30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ht="12.75">
      <c r="A9" s="6" t="s">
        <v>31</v>
      </c>
      <c r="B9" s="6" t="s">
        <v>1892</v>
      </c>
      <c r="C9" s="6" t="s">
        <v>32</v>
      </c>
      <c r="D9" s="6" t="s">
        <v>33</v>
      </c>
      <c r="E9" s="6" t="str">
        <f>"0,6197"</f>
        <v>0,6197</v>
      </c>
      <c r="F9" s="6" t="s">
        <v>34</v>
      </c>
      <c r="G9" s="6" t="s">
        <v>35</v>
      </c>
      <c r="H9" s="7" t="s">
        <v>36</v>
      </c>
      <c r="I9" s="7" t="s">
        <v>37</v>
      </c>
      <c r="J9" s="7" t="s">
        <v>38</v>
      </c>
      <c r="K9" s="8"/>
      <c r="L9" s="7" t="s">
        <v>39</v>
      </c>
      <c r="M9" s="7" t="s">
        <v>40</v>
      </c>
      <c r="N9" s="7" t="s">
        <v>41</v>
      </c>
      <c r="O9" s="8"/>
      <c r="P9" s="7" t="s">
        <v>42</v>
      </c>
      <c r="Q9" s="7" t="s">
        <v>26</v>
      </c>
      <c r="R9" s="8" t="s">
        <v>43</v>
      </c>
      <c r="S9" s="8"/>
      <c r="T9" s="6" t="str">
        <f>"620,0"</f>
        <v>620,0</v>
      </c>
      <c r="U9" s="7" t="str">
        <f>"384,2140"</f>
        <v>384,2140</v>
      </c>
      <c r="V9" s="6" t="s">
        <v>44</v>
      </c>
    </row>
    <row r="11" spans="1:22" ht="15">
      <c r="A11" s="48" t="s">
        <v>45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12.75">
      <c r="A12" s="9" t="s">
        <v>46</v>
      </c>
      <c r="B12" s="9" t="s">
        <v>1891</v>
      </c>
      <c r="C12" s="9" t="s">
        <v>47</v>
      </c>
      <c r="D12" s="9" t="s">
        <v>48</v>
      </c>
      <c r="E12" s="9" t="str">
        <f>"0,5960"</f>
        <v>0,5960</v>
      </c>
      <c r="F12" s="9" t="s">
        <v>18</v>
      </c>
      <c r="G12" s="9" t="s">
        <v>19</v>
      </c>
      <c r="H12" s="10" t="s">
        <v>22</v>
      </c>
      <c r="I12" s="11" t="s">
        <v>22</v>
      </c>
      <c r="J12" s="11" t="s">
        <v>49</v>
      </c>
      <c r="K12" s="10"/>
      <c r="L12" s="11" t="s">
        <v>24</v>
      </c>
      <c r="M12" s="11" t="s">
        <v>50</v>
      </c>
      <c r="N12" s="11" t="s">
        <v>51</v>
      </c>
      <c r="O12" s="10"/>
      <c r="P12" s="11" t="s">
        <v>52</v>
      </c>
      <c r="Q12" s="11" t="s">
        <v>53</v>
      </c>
      <c r="R12" s="11" t="s">
        <v>54</v>
      </c>
      <c r="S12" s="10"/>
      <c r="T12" s="9" t="str">
        <f>"700,0"</f>
        <v>700,0</v>
      </c>
      <c r="U12" s="11" t="str">
        <f>"417,2000"</f>
        <v>417,2000</v>
      </c>
      <c r="V12" s="9"/>
    </row>
    <row r="13" spans="1:22" ht="12.75">
      <c r="A13" s="12" t="s">
        <v>55</v>
      </c>
      <c r="B13" s="12" t="s">
        <v>1888</v>
      </c>
      <c r="C13" s="12" t="s">
        <v>56</v>
      </c>
      <c r="D13" s="12" t="s">
        <v>57</v>
      </c>
      <c r="E13" s="12" t="str">
        <f>"0,5892"</f>
        <v>0,5892</v>
      </c>
      <c r="F13" s="12" t="s">
        <v>58</v>
      </c>
      <c r="G13" s="12" t="s">
        <v>59</v>
      </c>
      <c r="H13" s="13" t="s">
        <v>20</v>
      </c>
      <c r="I13" s="14" t="s">
        <v>20</v>
      </c>
      <c r="J13" s="13" t="s">
        <v>60</v>
      </c>
      <c r="K13" s="13"/>
      <c r="L13" s="14" t="s">
        <v>61</v>
      </c>
      <c r="M13" s="14" t="s">
        <v>62</v>
      </c>
      <c r="N13" s="13" t="s">
        <v>63</v>
      </c>
      <c r="O13" s="13"/>
      <c r="P13" s="14" t="s">
        <v>64</v>
      </c>
      <c r="Q13" s="13" t="s">
        <v>37</v>
      </c>
      <c r="R13" s="14" t="s">
        <v>37</v>
      </c>
      <c r="S13" s="13"/>
      <c r="T13" s="12" t="str">
        <f>"620,0"</f>
        <v>620,0</v>
      </c>
      <c r="U13" s="14" t="str">
        <f>"365,3040"</f>
        <v>365,3040</v>
      </c>
      <c r="V13" s="12" t="s">
        <v>65</v>
      </c>
    </row>
    <row r="15" spans="1:22" ht="15">
      <c r="A15" s="48" t="s">
        <v>66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12.75">
      <c r="A16" s="6" t="s">
        <v>67</v>
      </c>
      <c r="B16" s="6" t="s">
        <v>1888</v>
      </c>
      <c r="C16" s="6" t="s">
        <v>68</v>
      </c>
      <c r="D16" s="6" t="s">
        <v>69</v>
      </c>
      <c r="E16" s="6" t="str">
        <f>"0,5648"</f>
        <v>0,5648</v>
      </c>
      <c r="F16" s="6" t="s">
        <v>18</v>
      </c>
      <c r="G16" s="6" t="s">
        <v>19</v>
      </c>
      <c r="H16" s="7" t="s">
        <v>64</v>
      </c>
      <c r="I16" s="7" t="s">
        <v>21</v>
      </c>
      <c r="J16" s="7" t="s">
        <v>70</v>
      </c>
      <c r="K16" s="7" t="s">
        <v>28</v>
      </c>
      <c r="L16" s="7" t="s">
        <v>61</v>
      </c>
      <c r="M16" s="8" t="s">
        <v>62</v>
      </c>
      <c r="N16" s="8" t="s">
        <v>62</v>
      </c>
      <c r="O16" s="8"/>
      <c r="P16" s="7" t="s">
        <v>20</v>
      </c>
      <c r="Q16" s="7" t="s">
        <v>71</v>
      </c>
      <c r="R16" s="8" t="s">
        <v>72</v>
      </c>
      <c r="S16" s="8"/>
      <c r="T16" s="6" t="str">
        <f>"665,0"</f>
        <v>665,0</v>
      </c>
      <c r="U16" s="7" t="str">
        <f>"375,5920"</f>
        <v>375,5920</v>
      </c>
      <c r="V16" s="6" t="s">
        <v>73</v>
      </c>
    </row>
    <row r="18" ht="15">
      <c r="F18" s="15" t="s">
        <v>74</v>
      </c>
    </row>
    <row r="19" ht="15">
      <c r="F19" s="15" t="s">
        <v>75</v>
      </c>
    </row>
    <row r="20" ht="15">
      <c r="F20" s="15" t="s">
        <v>76</v>
      </c>
    </row>
    <row r="21" ht="15">
      <c r="F21" s="15" t="s">
        <v>77</v>
      </c>
    </row>
    <row r="22" ht="15">
      <c r="F22" s="15" t="s">
        <v>77</v>
      </c>
    </row>
    <row r="23" ht="15">
      <c r="F23" s="15" t="s">
        <v>78</v>
      </c>
    </row>
    <row r="24" ht="15">
      <c r="F24" s="15"/>
    </row>
    <row r="26" spans="1:3" ht="18">
      <c r="A26" s="16" t="s">
        <v>79</v>
      </c>
      <c r="B26" s="16"/>
      <c r="C26" s="16"/>
    </row>
    <row r="27" spans="1:3" ht="15">
      <c r="A27" s="17" t="s">
        <v>80</v>
      </c>
      <c r="B27" s="17"/>
      <c r="C27" s="17"/>
    </row>
    <row r="28" spans="1:3" ht="14.25">
      <c r="A28" s="19"/>
      <c r="B28" s="19"/>
      <c r="C28" s="20" t="s">
        <v>81</v>
      </c>
    </row>
    <row r="29" spans="1:6" ht="15">
      <c r="A29" s="21" t="s">
        <v>82</v>
      </c>
      <c r="B29" s="21"/>
      <c r="C29" s="21" t="s">
        <v>83</v>
      </c>
      <c r="D29" s="21" t="s">
        <v>84</v>
      </c>
      <c r="E29" s="21" t="s">
        <v>85</v>
      </c>
      <c r="F29" s="21" t="s">
        <v>86</v>
      </c>
    </row>
    <row r="30" spans="1:6" ht="12.75">
      <c r="A30" s="18" t="s">
        <v>14</v>
      </c>
      <c r="B30" s="18"/>
      <c r="C30" s="5" t="s">
        <v>81</v>
      </c>
      <c r="D30" s="5" t="s">
        <v>87</v>
      </c>
      <c r="E30" s="5" t="s">
        <v>88</v>
      </c>
      <c r="F30" s="22" t="s">
        <v>89</v>
      </c>
    </row>
  </sheetData>
  <sheetProtection/>
  <mergeCells count="18">
    <mergeCell ref="A1:V2"/>
    <mergeCell ref="B3:B4"/>
    <mergeCell ref="A5:V5"/>
    <mergeCell ref="A15:V15"/>
    <mergeCell ref="A11:V11"/>
    <mergeCell ref="A8:V8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E3:E4"/>
    <mergeCell ref="T3:T4"/>
    <mergeCell ref="U3:U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Windows User</cp:lastModifiedBy>
  <cp:lastPrinted>2015-07-16T19:10:53Z</cp:lastPrinted>
  <dcterms:created xsi:type="dcterms:W3CDTF">2002-06-16T13:36:44Z</dcterms:created>
  <dcterms:modified xsi:type="dcterms:W3CDTF">2018-01-01T14:32:45Z</dcterms:modified>
  <cp:category/>
  <cp:version/>
  <cp:contentType/>
  <cp:contentStatus/>
</cp:coreProperties>
</file>