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7" activeTab="12"/>
  </bookViews>
  <sheets>
    <sheet name="WPU c ДК пл безэк." sheetId="1" r:id="rId1"/>
    <sheet name="WPU c ДК пл классик." sheetId="2" r:id="rId2"/>
    <sheet name="WPU c ДК жим безэк." sheetId="3" r:id="rId3"/>
    <sheet name="WPU c ДК тяга без эк." sheetId="4" r:id="rId4"/>
    <sheet name="WPU c ДК тяга в одн сл. эк." sheetId="5" r:id="rId5"/>
    <sheet name="WPU пл безэк." sheetId="6" r:id="rId6"/>
    <sheet name="WPU жим безэк." sheetId="7" r:id="rId7"/>
    <sheet name="WPU жим в одн сл. эк." sheetId="8" r:id="rId8"/>
    <sheet name="WPU тяга без эк." sheetId="9" r:id="rId9"/>
    <sheet name="WPU тяга в одн сл. эк." sheetId="10" r:id="rId10"/>
    <sheet name="WPU с ДК НЖ 1_2 вес" sheetId="11" r:id="rId11"/>
    <sheet name="WPU с ДК НЖ 1 вес" sheetId="12" r:id="rId12"/>
    <sheet name="WPU НЖ 1 вес" sheetId="13" r:id="rId13"/>
  </sheets>
  <definedNames/>
  <calcPr fullCalcOnLoad="1" refMode="R1C1"/>
</workbook>
</file>

<file path=xl/sharedStrings.xml><?xml version="1.0" encoding="utf-8"?>
<sst xmlns="http://schemas.openxmlformats.org/spreadsheetml/2006/main" count="1255" uniqueCount="438">
  <si>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</si>
  <si>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</si>
  <si>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</si>
  <si>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</si>
  <si>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</si>
  <si>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</si>
  <si>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</si>
  <si>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</si>
  <si>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</si>
  <si>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</si>
  <si>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</si>
  <si>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</si>
  <si>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Главный судья:</t>
  </si>
  <si>
    <t>Главный секретарь:</t>
  </si>
  <si>
    <t>Старший судья:</t>
  </si>
  <si>
    <t>Секретарь:</t>
  </si>
  <si>
    <t xml:space="preserve">Абсолютный зачёт </t>
  </si>
  <si>
    <t>Wilks</t>
  </si>
  <si>
    <t>ВЕСОВАЯ КАТЕГОРИЯ   90</t>
  </si>
  <si>
    <t>1. Васьковский Дмитрий (+1)</t>
  </si>
  <si>
    <t>Юниоры 20 - 23 (22.08.1994)/23</t>
  </si>
  <si>
    <t>90,00</t>
  </si>
  <si>
    <t xml:space="preserve">Москва </t>
  </si>
  <si>
    <t xml:space="preserve">Москва/ </t>
  </si>
  <si>
    <t>200,0</t>
  </si>
  <si>
    <t>210,0</t>
  </si>
  <si>
    <t>125,0</t>
  </si>
  <si>
    <t>135,0</t>
  </si>
  <si>
    <t>190,0</t>
  </si>
  <si>
    <t>205,0</t>
  </si>
  <si>
    <t>220,0</t>
  </si>
  <si>
    <t xml:space="preserve">. </t>
  </si>
  <si>
    <t>-. Базылев Александр</t>
  </si>
  <si>
    <t>Открытая (14.05.1980)/37</t>
  </si>
  <si>
    <t>86,50</t>
  </si>
  <si>
    <t xml:space="preserve">Тамбовская </t>
  </si>
  <si>
    <t xml:space="preserve">Тамбов/Тамбовская область </t>
  </si>
  <si>
    <t>150,0</t>
  </si>
  <si>
    <t>50,0</t>
  </si>
  <si>
    <t>100,0</t>
  </si>
  <si>
    <t>ВЕСОВАЯ КАТЕГОРИЯ   100</t>
  </si>
  <si>
    <t>1. Попов Иван (+КМС)</t>
  </si>
  <si>
    <t>Открытая (18.12.1990)/26</t>
  </si>
  <si>
    <t>96,70</t>
  </si>
  <si>
    <t>230,0</t>
  </si>
  <si>
    <t>240,0</t>
  </si>
  <si>
    <t>155,0</t>
  </si>
  <si>
    <t>167,5</t>
  </si>
  <si>
    <t>180,0</t>
  </si>
  <si>
    <t>250,0</t>
  </si>
  <si>
    <t>ВЕСОВАЯ КАТЕГОРИЯ   125</t>
  </si>
  <si>
    <t>1. Атанов Роман (+МС)</t>
  </si>
  <si>
    <t>Открытая (15.08.1973)/44</t>
  </si>
  <si>
    <t>120,50</t>
  </si>
  <si>
    <t xml:space="preserve">Владимирская </t>
  </si>
  <si>
    <t xml:space="preserve">Ковров/Владимирская область </t>
  </si>
  <si>
    <t>300,0</t>
  </si>
  <si>
    <t>310,0</t>
  </si>
  <si>
    <t>320,0</t>
  </si>
  <si>
    <t>195,0</t>
  </si>
  <si>
    <t>202,5</t>
  </si>
  <si>
    <t>207,5</t>
  </si>
  <si>
    <t>280,0</t>
  </si>
  <si>
    <t xml:space="preserve">Мазурантов В.О.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</si>
  <si>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</si>
  <si>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</si>
  <si>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</si>
  <si>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</si>
  <si>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</si>
  <si>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</si>
  <si>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90,0</t>
  </si>
  <si>
    <t xml:space="preserve">Открытая </t>
  </si>
  <si>
    <t>ВЕСОВАЯ КАТЕГОРИЯ   75</t>
  </si>
  <si>
    <t>-. Селина Екатерина</t>
  </si>
  <si>
    <t>Открытая (03.03.1992)/25</t>
  </si>
  <si>
    <t>72,30</t>
  </si>
  <si>
    <t xml:space="preserve">Московская </t>
  </si>
  <si>
    <t xml:space="preserve">Истра/Московская область </t>
  </si>
  <si>
    <t xml:space="preserve">Лазарев В. Маркин Н.И. </t>
  </si>
  <si>
    <t>ВЕСОВАЯ КАТЕГОРИЯ   67.5</t>
  </si>
  <si>
    <t>1. Румянцев Александр (+3)</t>
  </si>
  <si>
    <t>Открытая (26.06.1991)/26</t>
  </si>
  <si>
    <t>64,50</t>
  </si>
  <si>
    <t xml:space="preserve">Селятино/Московская область </t>
  </si>
  <si>
    <t>80,0</t>
  </si>
  <si>
    <t>87,5</t>
  </si>
  <si>
    <t xml:space="preserve">Тимченко С.С. </t>
  </si>
  <si>
    <t>1. Бердников Владимир (+1)</t>
  </si>
  <si>
    <t>Открытая (25.02.1987)/30</t>
  </si>
  <si>
    <t>74,20</t>
  </si>
  <si>
    <t xml:space="preserve">Видное/Московская область </t>
  </si>
  <si>
    <t>130,0</t>
  </si>
  <si>
    <t xml:space="preserve"> </t>
  </si>
  <si>
    <t>ВЕСОВАЯ КАТЕГОРИЯ   82.5</t>
  </si>
  <si>
    <t>1. Митроченко Андрей (+КМС)</t>
  </si>
  <si>
    <t>Ветераны 40 - 44 (19.11.1976)/40</t>
  </si>
  <si>
    <t>81,50</t>
  </si>
  <si>
    <t xml:space="preserve">Нахабино/Московская область </t>
  </si>
  <si>
    <t>140,0</t>
  </si>
  <si>
    <t>145,0</t>
  </si>
  <si>
    <t>Тимченко Сергей</t>
  </si>
  <si>
    <t>1. Тимченко Сергей (+МС)</t>
  </si>
  <si>
    <t>Открытая (23.12.1979)/37</t>
  </si>
  <si>
    <t xml:space="preserve">Подольск/Московская область </t>
  </si>
  <si>
    <t>215,0</t>
  </si>
  <si>
    <t xml:space="preserve">Тимченко Ю. </t>
  </si>
  <si>
    <t>2. Базылев Александр (+1Ю)</t>
  </si>
  <si>
    <t>105,0</t>
  </si>
  <si>
    <t>1. Богоутдинов Рустам (+КМС)</t>
  </si>
  <si>
    <t>Открытая (05.06.1982)/35</t>
  </si>
  <si>
    <t>91,70</t>
  </si>
  <si>
    <t>160,0</t>
  </si>
  <si>
    <t>175,0</t>
  </si>
  <si>
    <t>2. Крых Владимир (+1)</t>
  </si>
  <si>
    <t>Открытая (03.08.1981)/36</t>
  </si>
  <si>
    <t>97,90</t>
  </si>
  <si>
    <t>1. Карвовский Иван (+КМС)</t>
  </si>
  <si>
    <t>Ветераны 50 - 54 (22.02.1967)/50</t>
  </si>
  <si>
    <t>162,5</t>
  </si>
  <si>
    <t>ВЕСОВАЯ КАТЕГОРИЯ   110</t>
  </si>
  <si>
    <t>-. Некрасов Марат</t>
  </si>
  <si>
    <t>Открытая (14.08.1990)/27</t>
  </si>
  <si>
    <t>109,00</t>
  </si>
  <si>
    <t>172,5</t>
  </si>
  <si>
    <t>1. Котов Николай (+1)</t>
  </si>
  <si>
    <t>Ветераны 40 - 44 (12.07.1975)/42</t>
  </si>
  <si>
    <t>102,90</t>
  </si>
  <si>
    <t xml:space="preserve">Мытищи/Московская область </t>
  </si>
  <si>
    <t xml:space="preserve">Игамов Ш.Ш. </t>
  </si>
  <si>
    <t>Открытая (16.10.1994)/22</t>
  </si>
  <si>
    <t>110,90</t>
  </si>
  <si>
    <t xml:space="preserve">Ивантеевка/Московская область </t>
  </si>
  <si>
    <t>136,8990</t>
  </si>
  <si>
    <t>75,0</t>
  </si>
  <si>
    <t>67,5</t>
  </si>
  <si>
    <t>110,0</t>
  </si>
  <si>
    <t>Результат</t>
  </si>
  <si>
    <t>ВЕСОВАЯ КАТЕГОРИЯ   60</t>
  </si>
  <si>
    <t>1. Таскаева Екатерина (МС)</t>
  </si>
  <si>
    <t>Юниорки 20 - 23 (22.12.1993)/23</t>
  </si>
  <si>
    <t>59,30</t>
  </si>
  <si>
    <t>120,0</t>
  </si>
  <si>
    <t xml:space="preserve">Женщины </t>
  </si>
  <si>
    <t xml:space="preserve">Юниорки </t>
  </si>
  <si>
    <t>60,0</t>
  </si>
  <si>
    <t>ВЕСОВАЯ КАТЕГОРИЯ   52</t>
  </si>
  <si>
    <t>1. Ковешникова Екатерина (+1Ю)</t>
  </si>
  <si>
    <t>Открытая (21.06.1977)/40</t>
  </si>
  <si>
    <t>48,40</t>
  </si>
  <si>
    <t>70,0</t>
  </si>
  <si>
    <t xml:space="preserve">Мишенин С.В. </t>
  </si>
  <si>
    <t>1. Яковлева Анастасия (+1Ю)</t>
  </si>
  <si>
    <t>Открытая (30.12.1994)/22</t>
  </si>
  <si>
    <t>89,30</t>
  </si>
  <si>
    <t>85,0</t>
  </si>
  <si>
    <t>95,0</t>
  </si>
  <si>
    <t>1. Черных Юрий (+КМС)</t>
  </si>
  <si>
    <t>Юниоры 20 - 23 (29.01.1995)/22</t>
  </si>
  <si>
    <t>78,00</t>
  </si>
  <si>
    <t>225,0</t>
  </si>
  <si>
    <t>1. Зотов Сергей (+1)</t>
  </si>
  <si>
    <t>Открытая (11.05.1987)/30</t>
  </si>
  <si>
    <t>80,60</t>
  </si>
  <si>
    <t xml:space="preserve">Балашиха/Московская область </t>
  </si>
  <si>
    <t>2. Зиннатов Руслан (+1)</t>
  </si>
  <si>
    <t>Открытая (21.12.1986)/30</t>
  </si>
  <si>
    <t>217,5</t>
  </si>
  <si>
    <t xml:space="preserve">Котов Н. </t>
  </si>
  <si>
    <t>1. Базылев Александр (+3)</t>
  </si>
  <si>
    <t>165,0</t>
  </si>
  <si>
    <t>1. Бартенев Артем (+2)</t>
  </si>
  <si>
    <t>Открытая (17.07.1986)/31</t>
  </si>
  <si>
    <t>119,10</t>
  </si>
  <si>
    <t>1. Григорьев Алексей (+1)</t>
  </si>
  <si>
    <t>Ветераны 40 - 44 (04.02.1975)/42</t>
  </si>
  <si>
    <t>111,00</t>
  </si>
  <si>
    <t>257,5</t>
  </si>
  <si>
    <t xml:space="preserve">Костин Д.В. </t>
  </si>
  <si>
    <t>52,0</t>
  </si>
  <si>
    <t>1. Кожевникова Камилла</t>
  </si>
  <si>
    <t>Открытая (05.05.1986)/31</t>
  </si>
  <si>
    <t>65,50</t>
  </si>
  <si>
    <t>1. Герасименко Анатолий</t>
  </si>
  <si>
    <t>Открытая (02.08.1987)/30</t>
  </si>
  <si>
    <t>94,30</t>
  </si>
  <si>
    <t>1. Суров Иван (+2)</t>
  </si>
  <si>
    <t>Открытая (13.07.1979)/38</t>
  </si>
  <si>
    <t>80,80</t>
  </si>
  <si>
    <t xml:space="preserve">Красногорск/Московская область </t>
  </si>
  <si>
    <t>1. Чистяков Игорь</t>
  </si>
  <si>
    <t>1. Чистяков Игорь (+3)</t>
  </si>
  <si>
    <t>Ветераны 50 - 54 (27.05.1965)/52</t>
  </si>
  <si>
    <t>65,00</t>
  </si>
  <si>
    <t>115,0</t>
  </si>
  <si>
    <t xml:space="preserve">Буянин А. </t>
  </si>
  <si>
    <t>Евстигнеев Михаил</t>
  </si>
  <si>
    <t>1. Евстигнеев Михаил (+МС)</t>
  </si>
  <si>
    <t>Открытая (21.06.1976)/41</t>
  </si>
  <si>
    <t>106,00</t>
  </si>
  <si>
    <t>235,0</t>
  </si>
  <si>
    <t>185,0</t>
  </si>
  <si>
    <t>255,0</t>
  </si>
  <si>
    <t>265,0</t>
  </si>
  <si>
    <t xml:space="preserve">Козлов В.В. </t>
  </si>
  <si>
    <t>1. Петрив Вадим (+КМС)</t>
  </si>
  <si>
    <t>Открытая (29.12.1981)/35</t>
  </si>
  <si>
    <t>112,30</t>
  </si>
  <si>
    <t xml:space="preserve">Дедовск/Московская область </t>
  </si>
  <si>
    <t>680,0</t>
  </si>
  <si>
    <t>405,0080</t>
  </si>
  <si>
    <t>ВЕСОВАЯ КАТЕГОРИЯ   48</t>
  </si>
  <si>
    <t>1. Максимова Кристина (+КМС)</t>
  </si>
  <si>
    <t>Открытая (16.08.1982)/35</t>
  </si>
  <si>
    <t>48,00</t>
  </si>
  <si>
    <t xml:space="preserve">Звенигород/Московская область </t>
  </si>
  <si>
    <t>40,0</t>
  </si>
  <si>
    <t>45,0</t>
  </si>
  <si>
    <t>47,5</t>
  </si>
  <si>
    <t>2. Крамаренко Алия (+3)</t>
  </si>
  <si>
    <t>Открытая (19.10.1979)/37</t>
  </si>
  <si>
    <t>30,0</t>
  </si>
  <si>
    <t>32,5</t>
  </si>
  <si>
    <t>35,0</t>
  </si>
  <si>
    <t xml:space="preserve">Бердников В. </t>
  </si>
  <si>
    <t>1. Мельникова Анна (+1)</t>
  </si>
  <si>
    <t>Девушки 16 - 19 (02.02.1999)/18</t>
  </si>
  <si>
    <t>52,00</t>
  </si>
  <si>
    <t>0,0</t>
  </si>
  <si>
    <t xml:space="preserve">Ивлев Л.Н. </t>
  </si>
  <si>
    <t>ВЕСОВАЯ КАТЕГОРИЯ   56</t>
  </si>
  <si>
    <t>1. Коровкина Елена (+МС)</t>
  </si>
  <si>
    <t>Открытая (01.06.1992)/25</t>
  </si>
  <si>
    <t>54,80</t>
  </si>
  <si>
    <t>55,0</t>
  </si>
  <si>
    <t>65,0</t>
  </si>
  <si>
    <t>2. Соколова Людмила (+2)</t>
  </si>
  <si>
    <t>Открытая (29.09.1992)/24</t>
  </si>
  <si>
    <t>53,80</t>
  </si>
  <si>
    <t xml:space="preserve">Селина Е. </t>
  </si>
  <si>
    <t>Кричмар Ольга</t>
  </si>
  <si>
    <t>1. Кричмар Ольга (+МС)</t>
  </si>
  <si>
    <t>Открытая (09.03.1982)/35</t>
  </si>
  <si>
    <t>59,80</t>
  </si>
  <si>
    <t>72,5</t>
  </si>
  <si>
    <t xml:space="preserve">Чекренев А.В. </t>
  </si>
  <si>
    <t>1. Жаткина Татьяна (+1Ю)</t>
  </si>
  <si>
    <t>Открытая (16.01.1991)/26</t>
  </si>
  <si>
    <t>74,70</t>
  </si>
  <si>
    <t>42,5</t>
  </si>
  <si>
    <t xml:space="preserve">Лазарев В.В., Маркин Н. </t>
  </si>
  <si>
    <t>1. Дейч Маргарита (+2Ю)</t>
  </si>
  <si>
    <t>Ветераны 40 - 44 (30.10.1972)/44</t>
  </si>
  <si>
    <t>68,50</t>
  </si>
  <si>
    <t>37,5</t>
  </si>
  <si>
    <t xml:space="preserve">Маркин Н.И. </t>
  </si>
  <si>
    <t>-. Мансуров Надыр</t>
  </si>
  <si>
    <t>Юниоры 20 - 23 (18.10.1996)/20</t>
  </si>
  <si>
    <t>59,50</t>
  </si>
  <si>
    <t>1. Бурмистров Иван (+1Ю)</t>
  </si>
  <si>
    <t>Юноши 14 - 15 (10.09.2001)/15</t>
  </si>
  <si>
    <t xml:space="preserve">Лазарев В. </t>
  </si>
  <si>
    <t>1. Пастух Яков (+КМС)</t>
  </si>
  <si>
    <t>Открытая (26.02.1979)/38</t>
  </si>
  <si>
    <t xml:space="preserve">Волоколамск/Московская область </t>
  </si>
  <si>
    <t xml:space="preserve">Егоров П.В. </t>
  </si>
  <si>
    <t>2. Чистяков Игорь</t>
  </si>
  <si>
    <t>Открытая (27.05.1965)/52</t>
  </si>
  <si>
    <t>1. Чистяков Игорь (+КМС)</t>
  </si>
  <si>
    <t>Шувалов Роман</t>
  </si>
  <si>
    <t>1. Шувалов Роман (+МС)</t>
  </si>
  <si>
    <t>Открытая (07.08.1981)/36</t>
  </si>
  <si>
    <t>74,60</t>
  </si>
  <si>
    <t>137,5</t>
  </si>
  <si>
    <t xml:space="preserve">Щербачев А. </t>
  </si>
  <si>
    <t>Копаев Виктор</t>
  </si>
  <si>
    <t>2. Копаев Виктор (+МС)</t>
  </si>
  <si>
    <t>Открытая (02.02.1990)/27</t>
  </si>
  <si>
    <t>69,00</t>
  </si>
  <si>
    <t xml:space="preserve">Непряхин А. </t>
  </si>
  <si>
    <t>Николаев Александр</t>
  </si>
  <si>
    <t>3. Николаев Александр (+МС)</t>
  </si>
  <si>
    <t>Открытая (06.04.1988)/29</t>
  </si>
  <si>
    <t>71,60</t>
  </si>
  <si>
    <t xml:space="preserve">Белгородская </t>
  </si>
  <si>
    <t xml:space="preserve">Старый Оскол/Белгородская область </t>
  </si>
  <si>
    <t>1. Кузнецов Сергей (+КМС)</t>
  </si>
  <si>
    <t>Открытая (07.10.1984)/32</t>
  </si>
  <si>
    <t>79,60</t>
  </si>
  <si>
    <t>2. Алиев Эльнур (+КМС)</t>
  </si>
  <si>
    <t>81,10</t>
  </si>
  <si>
    <t xml:space="preserve">Лазарев В.В. </t>
  </si>
  <si>
    <t>3. Ракитин Евгений (+1Ю)</t>
  </si>
  <si>
    <t>Открытая (15.11.1982)/34</t>
  </si>
  <si>
    <t>80,20</t>
  </si>
  <si>
    <t>-. Семенов Александр</t>
  </si>
  <si>
    <t>Ветераны 40 - 44 (03.02.1977)/40</t>
  </si>
  <si>
    <t>79,50</t>
  </si>
  <si>
    <t>1. Синящокий Сергей (+КМС)</t>
  </si>
  <si>
    <t>Ветераны 45 - 49 (30.10.1970)/46</t>
  </si>
  <si>
    <t>82,40</t>
  </si>
  <si>
    <t>1. Лубков Николай (+1)</t>
  </si>
  <si>
    <t>Ветераны 55 - 59 (10.09.1959)/57</t>
  </si>
  <si>
    <t>80,40</t>
  </si>
  <si>
    <t>1. Маклаков Денис (+1)</t>
  </si>
  <si>
    <t>Юниоры 20 - 23 (02.05.1997)/20</t>
  </si>
  <si>
    <t>88,80</t>
  </si>
  <si>
    <t>1. Дымов Олег (+МС)</t>
  </si>
  <si>
    <t>Ветераны 45 - 49 (02.05.1970)/47</t>
  </si>
  <si>
    <t>88,30</t>
  </si>
  <si>
    <t xml:space="preserve">Фрязино/Московская область </t>
  </si>
  <si>
    <t>1. Климанов Александр (+3)</t>
  </si>
  <si>
    <t>Юниоры 20 - 23 (06.02.1996)/21</t>
  </si>
  <si>
    <t>95,00</t>
  </si>
  <si>
    <t>107,5</t>
  </si>
  <si>
    <t>112,5</t>
  </si>
  <si>
    <t>-. Степанов Александр</t>
  </si>
  <si>
    <t>Юниоры 20 - 23 (05.12.1994)/22</t>
  </si>
  <si>
    <t>93,30</t>
  </si>
  <si>
    <t>1. Непряхин Алексей (+КМС)</t>
  </si>
  <si>
    <t>Ветераны 40 - 44 (03.02.1975)/42</t>
  </si>
  <si>
    <t>106,70</t>
  </si>
  <si>
    <t>1. Перов Егор</t>
  </si>
  <si>
    <t>1. Перов Егор (+КМС)</t>
  </si>
  <si>
    <t>Юниоры 20 - 23 (16.10.1994)/22</t>
  </si>
  <si>
    <t>ВЕСОВАЯ КАТЕГОРИЯ   140</t>
  </si>
  <si>
    <t>1. Ходаковский Вячеслав (+1)</t>
  </si>
  <si>
    <t>Открытая (08.09.1986)/31</t>
  </si>
  <si>
    <t>125,80</t>
  </si>
  <si>
    <t>83,8350</t>
  </si>
  <si>
    <t xml:space="preserve">Юноши </t>
  </si>
  <si>
    <t>104,1975</t>
  </si>
  <si>
    <t>101,2962</t>
  </si>
  <si>
    <t>100,1280</t>
  </si>
  <si>
    <t>Открытая (02.02.1999)/18</t>
  </si>
  <si>
    <t>1. Соколова Людмила (+2)</t>
  </si>
  <si>
    <t>92,5</t>
  </si>
  <si>
    <t>1. Жаткина Татьяна (+3)</t>
  </si>
  <si>
    <t>97,5</t>
  </si>
  <si>
    <t>Тарасов Родион</t>
  </si>
  <si>
    <t>1. Тарасов Родион (+МС)</t>
  </si>
  <si>
    <t>Открытая (12.03.1999)/18</t>
  </si>
  <si>
    <t>71,80</t>
  </si>
  <si>
    <t>222,5</t>
  </si>
  <si>
    <t>2. Артюшенко Сергей (+МС)</t>
  </si>
  <si>
    <t>Открытая (31.03.1980)/37</t>
  </si>
  <si>
    <t>74,00</t>
  </si>
  <si>
    <t xml:space="preserve">Кострово/Московская область </t>
  </si>
  <si>
    <t>1. Павлушин Олег (+1)</t>
  </si>
  <si>
    <t>Ветераны 40 - 44 (07.03.1974)/43</t>
  </si>
  <si>
    <t>72,90</t>
  </si>
  <si>
    <t xml:space="preserve">Янков Д.А. </t>
  </si>
  <si>
    <t>1. Климанов Александр (+1)</t>
  </si>
  <si>
    <t>82,00</t>
  </si>
  <si>
    <t>1. Константинов Сергей (+1)</t>
  </si>
  <si>
    <t>Открытая (12.10.1979)/37</t>
  </si>
  <si>
    <t>79,80</t>
  </si>
  <si>
    <t xml:space="preserve">Калининград/Калининградская область </t>
  </si>
  <si>
    <t>170,0</t>
  </si>
  <si>
    <t>2. Алиев Эльнур (+1)</t>
  </si>
  <si>
    <t>192,5</t>
  </si>
  <si>
    <t>1. Скокин Виктор (+КМС)</t>
  </si>
  <si>
    <t>Ветераны 60 - 64 (20.07.1957)/60</t>
  </si>
  <si>
    <t>79,00</t>
  </si>
  <si>
    <t xml:space="preserve">Воскресенск/Московская область </t>
  </si>
  <si>
    <t xml:space="preserve">Хламков А.Е. </t>
  </si>
  <si>
    <t>1. Маклаков Денис (+КМС)</t>
  </si>
  <si>
    <t>1. Козлов Андрей (+КМС)</t>
  </si>
  <si>
    <t>Открытая (24.10.1969)/47</t>
  </si>
  <si>
    <t>99,40</t>
  </si>
  <si>
    <t>154,3920</t>
  </si>
  <si>
    <t>1. Варламов Вячеслав (+МС)</t>
  </si>
  <si>
    <t>Открытая (18.03.1985)/32</t>
  </si>
  <si>
    <r>
      <t xml:space="preserve">Чемпионат Московской области
</t>
    </r>
    <r>
      <rPr>
        <sz val="24"/>
        <rFont val="Arial Cyr"/>
        <family val="0"/>
      </rPr>
      <t>WPU c ДК Пауэрлифтинг Безэкипировочный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</si>
  <si>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t>Суров И.</t>
  </si>
  <si>
    <r>
      <t xml:space="preserve">Чемпионат Московской области
</t>
    </r>
    <r>
      <rPr>
        <sz val="24"/>
        <rFont val="Arial Cyr"/>
        <family val="0"/>
      </rPr>
      <t>WPU c ДК Жим лежа Безэкипировочный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</si>
  <si>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r>
      <t xml:space="preserve">Чемпионат Московской области
</t>
    </r>
    <r>
      <rPr>
        <sz val="24"/>
        <rFont val="Arial Cyr"/>
        <family val="0"/>
      </rPr>
      <t>WPU c ДК Пауэрлифтинг Классический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</si>
  <si>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r>
      <t xml:space="preserve">Чемпионат Московской области
</t>
    </r>
    <r>
      <rPr>
        <sz val="24"/>
        <rFont val="Arial Cyr"/>
        <family val="0"/>
      </rPr>
      <t>WPU c ДК Становая тяга Безэкипировочная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</si>
  <si>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t>Евстигнеев М.</t>
  </si>
  <si>
    <r>
      <t xml:space="preserve">Чемпионат Московской области
</t>
    </r>
    <r>
      <rPr>
        <sz val="24"/>
        <rFont val="Arial Cyr"/>
        <family val="0"/>
      </rPr>
      <t>WPU c ДК Становая тяга в Однослойной экипировке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</si>
  <si>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r>
      <t xml:space="preserve">Чемпионат Московской области
</t>
    </r>
    <r>
      <rPr>
        <sz val="24"/>
        <rFont val="Arial Cyr"/>
        <family val="0"/>
      </rPr>
      <t>WPU Пауэрлифтинг Безэкипировочный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</si>
  <si>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r>
      <t xml:space="preserve">Чемпионат Московской области
</t>
    </r>
    <r>
      <rPr>
        <sz val="24"/>
        <rFont val="Arial Cyr"/>
        <family val="0"/>
      </rPr>
      <t>WPU Жим лежа Безэкипировочный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</si>
  <si>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r>
      <t xml:space="preserve">Чемпионат Московской области
</t>
    </r>
    <r>
      <rPr>
        <sz val="24"/>
        <rFont val="Arial Cyr"/>
        <family val="0"/>
      </rPr>
      <t>WPU Жим лежа в Однослойной экипировке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</si>
  <si>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r>
      <t xml:space="preserve">Чемпионат Московской области
</t>
    </r>
    <r>
      <rPr>
        <sz val="24"/>
        <rFont val="Arial Cyr"/>
        <family val="0"/>
      </rPr>
      <t>WPU Становая тяга Безэкипировочная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</si>
  <si>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t>Лазарев В.В., Маркин Н.И.</t>
  </si>
  <si>
    <r>
      <t xml:space="preserve">Чемпионат Московской области
</t>
    </r>
    <r>
      <rPr>
        <sz val="24"/>
        <rFont val="Arial Cyr"/>
        <family val="0"/>
      </rPr>
      <t>WPU Становая тяга в Однослойной экипировке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</si>
  <si>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t xml:space="preserve">Gloss </t>
  </si>
  <si>
    <t>Юноши 13 - 19 (10.09.2001)/15</t>
  </si>
  <si>
    <t xml:space="preserve">Константинов С. </t>
  </si>
  <si>
    <t>59,60</t>
  </si>
  <si>
    <t>Юноши 13 - 19 (01.06.2001)/16</t>
  </si>
  <si>
    <t>1. Евтягин Сергей (+1Ю)</t>
  </si>
  <si>
    <t>Повторы</t>
  </si>
  <si>
    <t>Вес</t>
  </si>
  <si>
    <t>Тоннаж</t>
  </si>
  <si>
    <t>Жим мн. повт.</t>
  </si>
  <si>
    <t>Gloss</t>
  </si>
  <si>
    <r>
      <t xml:space="preserve">Чемпионат Московской области
</t>
    </r>
    <r>
      <rPr>
        <sz val="24"/>
        <rFont val="Arial Cyr"/>
        <family val="0"/>
      </rPr>
      <t xml:space="preserve">WPU с ДК Народный жим 1/2 веса 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</si>
  <si>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t>1919,7081</t>
  </si>
  <si>
    <t>3145,0</t>
  </si>
  <si>
    <t>Измайлов Константин</t>
  </si>
  <si>
    <t>31,0</t>
  </si>
  <si>
    <t>90,70</t>
  </si>
  <si>
    <t>Открытая (01.07.1982)/35</t>
  </si>
  <si>
    <t>2. Смирнов Алексей (+МС)</t>
  </si>
  <si>
    <t>34,0</t>
  </si>
  <si>
    <t>90,40</t>
  </si>
  <si>
    <t>Открытая (14.04.1991)/26</t>
  </si>
  <si>
    <t>1. Измайлов Константин (+МС)</t>
  </si>
  <si>
    <t>26,0</t>
  </si>
  <si>
    <t>94,10</t>
  </si>
  <si>
    <t>1. Сорокин Егор (+КМС)</t>
  </si>
  <si>
    <t>15,0</t>
  </si>
  <si>
    <t>88,40</t>
  </si>
  <si>
    <t>Мастера 50 - 59 (13.05.1962)/55</t>
  </si>
  <si>
    <t>1. Макаров Олег (+3)</t>
  </si>
  <si>
    <t>28,0</t>
  </si>
  <si>
    <t>Мастера 40 - 49 (02.05.1970)/47</t>
  </si>
  <si>
    <t>16,0</t>
  </si>
  <si>
    <t>Мастера 40 - 49 (03.02.1977)/40</t>
  </si>
  <si>
    <t>1. Семенов Александр (+3)</t>
  </si>
  <si>
    <t>25,0</t>
  </si>
  <si>
    <t>1. Копаев Виктор (+1)</t>
  </si>
  <si>
    <t>Мастера 50 - 59 (27.05.1965)/52</t>
  </si>
  <si>
    <t>27,0</t>
  </si>
  <si>
    <t>2. Пастух Яков (+1)</t>
  </si>
  <si>
    <r>
      <t xml:space="preserve">Чемпионат Московской области
</t>
    </r>
    <r>
      <rPr>
        <sz val="24"/>
        <rFont val="Arial Cyr"/>
        <family val="0"/>
      </rPr>
      <t>WPU с ДК Народный жим 1 вес</t>
    </r>
    <r>
      <rPr>
        <b/>
        <sz val="24"/>
        <rFont val="Arial Cyr"/>
        <family val="0"/>
      </rPr>
      <t xml:space="preserve">
Дедовск, Московская область 9 сентября 2017 г.</t>
    </r>
  </si>
  <si>
    <t>102,5</t>
  </si>
  <si>
    <t>101,50</t>
  </si>
  <si>
    <t>Открытая (26.10.1970)/46</t>
  </si>
  <si>
    <t>1. Лисицын Сергей (+МС)</t>
  </si>
  <si>
    <t>23,0</t>
  </si>
  <si>
    <t>Московская</t>
  </si>
  <si>
    <t>Мастера 50 - 59 (22.02.1967)/50</t>
  </si>
  <si>
    <t>1. Карвовский Иван (+1)</t>
  </si>
  <si>
    <t>90,20</t>
  </si>
  <si>
    <t>Открытая (22.02.1985)/32</t>
  </si>
  <si>
    <t>1. Савостьянов Руслан (+МС)</t>
  </si>
  <si>
    <r>
      <t xml:space="preserve">Чемпионат Московской области
</t>
    </r>
    <r>
      <rPr>
        <sz val="24"/>
        <rFont val="Arial Cyr"/>
        <family val="0"/>
      </rPr>
      <t>WPU Народный жим 1 вес</t>
    </r>
    <r>
      <rPr>
        <b/>
        <sz val="24"/>
        <rFont val="Arial Cyr"/>
        <family val="0"/>
      </rPr>
      <t xml:space="preserve">
Дедовск, Московская область 9 сентября 2017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</si>
</sst>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0"/>
    <numFmt numFmtId="167" formatCode="000000"/>
    <numFmt numFmtId="168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sz val="2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23" fillId="0" borderId="1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left"/>
    </xf>
    <xf numFmtId="49" fontId="24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left"/>
    </xf>
    <xf numFmtId="49" fontId="24" fillId="0" borderId="23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25" fillId="0" borderId="0" xfId="0" applyNumberFormat="1" applyFont="1" applyFill="1" applyBorder="1" applyAlignment="1">
      <alignment horizontal="left" indent="1"/>
    </xf>
    <xf numFmtId="49" fontId="25" fillId="0" borderId="0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49" fontId="24" fillId="0" borderId="25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6.25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7.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1.875" style="5" bestFit="1" customWidth="1"/>
    <col min="22" max="16384" width="9.125" style="4" customWidth="1"/>
  </cols>
  <sheetData>
    <row r="1" spans="1:21" s="3" customFormat="1" ht="28.5" customHeight="1">
      <c r="A1" s="18" t="s">
        <v>372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21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1</v>
      </c>
      <c r="H3" s="11"/>
      <c r="I3" s="11"/>
      <c r="J3" s="11"/>
      <c r="K3" s="11" t="s">
        <v>2</v>
      </c>
      <c r="L3" s="11"/>
      <c r="M3" s="11"/>
      <c r="N3" s="11"/>
      <c r="O3" s="11" t="s">
        <v>3</v>
      </c>
      <c r="P3" s="11"/>
      <c r="Q3" s="11"/>
      <c r="R3" s="11"/>
      <c r="S3" s="11" t="s">
        <v>4</v>
      </c>
      <c r="T3" s="11" t="s">
        <v>6</v>
      </c>
      <c r="U3" s="16" t="s">
        <v>5</v>
      </c>
    </row>
    <row r="4" spans="1:21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15"/>
      <c r="T4" s="15"/>
      <c r="U4" s="17"/>
    </row>
    <row r="5" spans="1:20" ht="15">
      <c r="A5" s="21" t="s">
        <v>79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1" ht="12.75">
      <c r="A6" s="28" t="s">
        <v>190</v>
      </c>
      <c r="B6" s="28" t="s">
        <v>191</v>
      </c>
      <c r="C6" s="28" t="s">
        <v>192</v>
      </c>
      <c r="D6" s="28" t="str">
        <f>"0,7952"</f>
        <v>0,7952</v>
      </c>
      <c r="E6" s="28" t="s">
        <v>22</v>
      </c>
      <c r="F6" s="28" t="s">
        <v>23</v>
      </c>
      <c r="G6" s="29" t="s">
        <v>193</v>
      </c>
      <c r="H6" s="30"/>
      <c r="I6" s="30"/>
      <c r="J6" s="30"/>
      <c r="K6" s="29" t="s">
        <v>107</v>
      </c>
      <c r="L6" s="29" t="s">
        <v>135</v>
      </c>
      <c r="M6" s="30"/>
      <c r="N6" s="30"/>
      <c r="O6" s="29" t="s">
        <v>135</v>
      </c>
      <c r="P6" s="29" t="s">
        <v>141</v>
      </c>
      <c r="Q6" s="30"/>
      <c r="R6" s="30"/>
      <c r="S6" s="28" t="str">
        <f>"345,0"</f>
        <v>345,0</v>
      </c>
      <c r="T6" s="29" t="str">
        <f>"319,6108"</f>
        <v>319,6108</v>
      </c>
      <c r="U6" s="28" t="s">
        <v>194</v>
      </c>
    </row>
    <row r="8" spans="1:20" ht="15">
      <c r="A8" s="27" t="s">
        <v>119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1" ht="12.75">
      <c r="A9" s="28" t="s">
        <v>196</v>
      </c>
      <c r="B9" s="28" t="s">
        <v>197</v>
      </c>
      <c r="C9" s="28" t="s">
        <v>198</v>
      </c>
      <c r="D9" s="28" t="str">
        <f>"0,5956"</f>
        <v>0,5956</v>
      </c>
      <c r="E9" s="28" t="s">
        <v>22</v>
      </c>
      <c r="F9" s="28" t="s">
        <v>23</v>
      </c>
      <c r="G9" s="29" t="s">
        <v>159</v>
      </c>
      <c r="H9" s="29" t="s">
        <v>199</v>
      </c>
      <c r="I9" s="29" t="s">
        <v>45</v>
      </c>
      <c r="J9" s="30"/>
      <c r="K9" s="29" t="s">
        <v>112</v>
      </c>
      <c r="L9" s="29" t="s">
        <v>200</v>
      </c>
      <c r="M9" s="30" t="s">
        <v>28</v>
      </c>
      <c r="N9" s="30"/>
      <c r="O9" s="29" t="s">
        <v>45</v>
      </c>
      <c r="P9" s="29" t="s">
        <v>201</v>
      </c>
      <c r="Q9" s="30" t="s">
        <v>202</v>
      </c>
      <c r="R9" s="30"/>
      <c r="S9" s="28" t="str">
        <f>"680,0"</f>
        <v>680,0</v>
      </c>
      <c r="T9" s="29" t="str">
        <f>"405,0080"</f>
        <v>405,0080</v>
      </c>
      <c r="U9" s="28" t="s">
        <v>203</v>
      </c>
    </row>
    <row r="11" spans="1:20" ht="15">
      <c r="A11" s="27" t="s">
        <v>50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1" ht="12.75">
      <c r="A12" s="28" t="s">
        <v>204</v>
      </c>
      <c r="B12" s="28" t="s">
        <v>205</v>
      </c>
      <c r="C12" s="28" t="s">
        <v>206</v>
      </c>
      <c r="D12" s="28" t="str">
        <f>"0,5849"</f>
        <v>0,5849</v>
      </c>
      <c r="E12" s="28" t="s">
        <v>76</v>
      </c>
      <c r="F12" s="28" t="s">
        <v>207</v>
      </c>
      <c r="G12" s="29" t="s">
        <v>44</v>
      </c>
      <c r="H12" s="29" t="s">
        <v>45</v>
      </c>
      <c r="I12" s="29" t="s">
        <v>49</v>
      </c>
      <c r="J12" s="30"/>
      <c r="K12" s="29" t="s">
        <v>37</v>
      </c>
      <c r="L12" s="29" t="s">
        <v>111</v>
      </c>
      <c r="M12" s="29" t="s">
        <v>169</v>
      </c>
      <c r="N12" s="30"/>
      <c r="O12" s="29" t="s">
        <v>44</v>
      </c>
      <c r="P12" s="29" t="s">
        <v>45</v>
      </c>
      <c r="Q12" s="29" t="s">
        <v>49</v>
      </c>
      <c r="R12" s="30"/>
      <c r="S12" s="28" t="str">
        <f>"665,0"</f>
        <v>665,0</v>
      </c>
      <c r="T12" s="29" t="str">
        <f>"388,9585"</f>
        <v>388,9585</v>
      </c>
      <c r="U12" s="28" t="s">
        <v>31</v>
      </c>
    </row>
    <row r="14" ht="15">
      <c r="E14" s="19" t="s">
        <v>12</v>
      </c>
    </row>
    <row r="15" ht="15">
      <c r="E15" s="19" t="s">
        <v>13</v>
      </c>
    </row>
    <row r="16" ht="15">
      <c r="E16" s="19" t="s">
        <v>14</v>
      </c>
    </row>
    <row r="17" ht="15">
      <c r="E17" s="19" t="s">
        <v>15</v>
      </c>
    </row>
    <row r="18" ht="15">
      <c r="E18" s="19"/>
    </row>
    <row r="20" spans="1:2" ht="18">
      <c r="A20" s="20" t="s">
        <v>16</v>
      </c>
      <c r="B20" s="20"/>
    </row>
    <row r="21" spans="1:2" ht="15">
      <c r="A21" s="32" t="s">
        <v>64</v>
      </c>
      <c r="B21" s="32"/>
    </row>
    <row r="22" spans="1:2" ht="14.25">
      <c r="A22" s="34"/>
      <c r="B22" s="35" t="s">
        <v>71</v>
      </c>
    </row>
    <row r="23" spans="1:5" ht="15">
      <c r="A23" s="36" t="s">
        <v>65</v>
      </c>
      <c r="B23" s="36" t="s">
        <v>66</v>
      </c>
      <c r="C23" s="36" t="s">
        <v>67</v>
      </c>
      <c r="D23" s="36" t="s">
        <v>68</v>
      </c>
      <c r="E23" s="36" t="s">
        <v>69</v>
      </c>
    </row>
    <row r="24" spans="1:5" ht="12.75">
      <c r="A24" s="33" t="s">
        <v>195</v>
      </c>
      <c r="B24" s="5" t="s">
        <v>71</v>
      </c>
      <c r="C24" s="5" t="s">
        <v>135</v>
      </c>
      <c r="D24" s="5" t="s">
        <v>208</v>
      </c>
      <c r="E24" s="37" t="s">
        <v>209</v>
      </c>
    </row>
  </sheetData>
  <sheetProtection/>
  <mergeCells count="16"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26.0039062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16.75390625" style="5" bestFit="1" customWidth="1"/>
    <col min="7" max="9" width="5.625" style="4" bestFit="1" customWidth="1"/>
    <col min="10" max="10" width="4.875" style="4" bestFit="1" customWidth="1"/>
    <col min="11" max="11" width="11.375" style="5" customWidth="1"/>
    <col min="12" max="12" width="8.625" style="4" bestFit="1" customWidth="1"/>
    <col min="13" max="13" width="14.125" style="5" bestFit="1" customWidth="1"/>
    <col min="14" max="16384" width="9.125" style="4" customWidth="1"/>
  </cols>
  <sheetData>
    <row r="1" spans="1:13" s="3" customFormat="1" ht="28.5" customHeight="1">
      <c r="A1" s="18" t="s">
        <v>384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3</v>
      </c>
      <c r="H3" s="11"/>
      <c r="I3" s="11"/>
      <c r="J3" s="11"/>
      <c r="K3" s="11" t="s">
        <v>136</v>
      </c>
      <c r="L3" s="11" t="s">
        <v>6</v>
      </c>
      <c r="M3" s="16" t="s">
        <v>5</v>
      </c>
    </row>
    <row r="4" spans="1:13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15"/>
      <c r="L4" s="15"/>
      <c r="M4" s="17"/>
    </row>
    <row r="5" spans="1:12" ht="15">
      <c r="A5" s="21" t="s">
        <v>79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2.75">
      <c r="A6" s="28" t="s">
        <v>179</v>
      </c>
      <c r="B6" s="28" t="s">
        <v>180</v>
      </c>
      <c r="C6" s="28" t="s">
        <v>181</v>
      </c>
      <c r="D6" s="28" t="str">
        <f>"1,0432"</f>
        <v>1,0432</v>
      </c>
      <c r="E6" s="28" t="s">
        <v>22</v>
      </c>
      <c r="F6" s="28" t="s">
        <v>23</v>
      </c>
      <c r="G6" s="29" t="s">
        <v>154</v>
      </c>
      <c r="H6" s="29" t="s">
        <v>155</v>
      </c>
      <c r="I6" s="30" t="s">
        <v>39</v>
      </c>
      <c r="J6" s="30"/>
      <c r="K6" s="28" t="str">
        <f>"95,0"</f>
        <v>95,0</v>
      </c>
      <c r="L6" s="29" t="str">
        <f>"99,1040"</f>
        <v>99,1040</v>
      </c>
      <c r="M6" s="28" t="s">
        <v>150</v>
      </c>
    </row>
    <row r="8" spans="1:12" ht="15">
      <c r="A8" s="27" t="s">
        <v>40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ht="12.75">
      <c r="A9" s="28" t="s">
        <v>182</v>
      </c>
      <c r="B9" s="28" t="s">
        <v>183</v>
      </c>
      <c r="C9" s="28" t="s">
        <v>184</v>
      </c>
      <c r="D9" s="28" t="str">
        <f>"0,6241"</f>
        <v>0,6241</v>
      </c>
      <c r="E9" s="28" t="s">
        <v>22</v>
      </c>
      <c r="F9" s="28" t="s">
        <v>23</v>
      </c>
      <c r="G9" s="29" t="s">
        <v>111</v>
      </c>
      <c r="H9" s="30" t="s">
        <v>169</v>
      </c>
      <c r="I9" s="29" t="s">
        <v>169</v>
      </c>
      <c r="J9" s="30"/>
      <c r="K9" s="28" t="str">
        <f>"165,0"</f>
        <v>165,0</v>
      </c>
      <c r="L9" s="29" t="str">
        <f>"102,9765"</f>
        <v>102,9765</v>
      </c>
      <c r="M9" s="41" t="s">
        <v>150</v>
      </c>
    </row>
    <row r="11" ht="15">
      <c r="E11" s="19" t="s">
        <v>12</v>
      </c>
    </row>
    <row r="12" ht="15">
      <c r="E12" s="19" t="s">
        <v>13</v>
      </c>
    </row>
    <row r="13" ht="15">
      <c r="E13" s="19" t="s">
        <v>14</v>
      </c>
    </row>
    <row r="14" ht="15">
      <c r="E14" s="19" t="s">
        <v>15</v>
      </c>
    </row>
    <row r="15" ht="15">
      <c r="E15" s="19"/>
    </row>
    <row r="17" spans="1:2" ht="18">
      <c r="A17" s="20" t="s">
        <v>16</v>
      </c>
      <c r="B17" s="20"/>
    </row>
    <row r="18" spans="1:2" ht="15">
      <c r="A18" s="32" t="s">
        <v>64</v>
      </c>
      <c r="B18" s="32"/>
    </row>
    <row r="19" spans="1:2" ht="14.25">
      <c r="A19" s="34"/>
      <c r="B19" s="35" t="s">
        <v>71</v>
      </c>
    </row>
    <row r="20" spans="1:5" ht="15">
      <c r="A20" s="36" t="s">
        <v>65</v>
      </c>
      <c r="B20" s="36" t="s">
        <v>66</v>
      </c>
      <c r="C20" s="36" t="s">
        <v>67</v>
      </c>
      <c r="D20" s="36" t="s">
        <v>68</v>
      </c>
      <c r="E20" s="36" t="s">
        <v>69</v>
      </c>
    </row>
  </sheetData>
  <sheetProtection/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26.00390625" style="5" bestFit="1" customWidth="1"/>
    <col min="2" max="2" width="27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5.125" style="5" bestFit="1" customWidth="1"/>
    <col min="7" max="7" width="6.00390625" style="4" customWidth="1"/>
    <col min="8" max="8" width="9.875" style="44" customWidth="1"/>
    <col min="9" max="9" width="9.875" style="5" customWidth="1"/>
    <col min="10" max="10" width="9.625" style="4" bestFit="1" customWidth="1"/>
    <col min="11" max="11" width="15.75390625" style="5" bestFit="1" customWidth="1"/>
    <col min="12" max="16384" width="9.125" style="4" customWidth="1"/>
  </cols>
  <sheetData>
    <row r="1" spans="1:11" s="3" customFormat="1" ht="28.5" customHeight="1">
      <c r="A1" s="18" t="s">
        <v>396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s="1" customFormat="1" ht="12.75" customHeight="1">
      <c r="A3" s="12" t="s">
        <v>0</v>
      </c>
      <c r="B3" s="14" t="s">
        <v>9</v>
      </c>
      <c r="C3" s="14" t="s">
        <v>11</v>
      </c>
      <c r="D3" s="11" t="s">
        <v>395</v>
      </c>
      <c r="E3" s="11" t="s">
        <v>7</v>
      </c>
      <c r="F3" s="11" t="s">
        <v>10</v>
      </c>
      <c r="G3" s="11" t="s">
        <v>394</v>
      </c>
      <c r="H3" s="11"/>
      <c r="I3" s="11" t="s">
        <v>393</v>
      </c>
      <c r="J3" s="11" t="s">
        <v>6</v>
      </c>
      <c r="K3" s="16" t="s">
        <v>5</v>
      </c>
    </row>
    <row r="4" spans="1:11" s="1" customFormat="1" ht="21" customHeight="1" thickBot="1">
      <c r="A4" s="13"/>
      <c r="B4" s="15"/>
      <c r="C4" s="15"/>
      <c r="D4" s="15"/>
      <c r="E4" s="15"/>
      <c r="F4" s="15"/>
      <c r="G4" s="2" t="s">
        <v>392</v>
      </c>
      <c r="H4" s="46" t="s">
        <v>391</v>
      </c>
      <c r="I4" s="15"/>
      <c r="J4" s="15"/>
      <c r="K4" s="17"/>
    </row>
    <row r="5" spans="1:10" ht="15">
      <c r="A5" s="21" t="s">
        <v>137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ht="12.75">
      <c r="A6" s="28" t="s">
        <v>390</v>
      </c>
      <c r="B6" s="28" t="s">
        <v>389</v>
      </c>
      <c r="C6" s="28" t="s">
        <v>388</v>
      </c>
      <c r="D6" s="28" t="str">
        <f>"0,8383"</f>
        <v>0,8383</v>
      </c>
      <c r="E6" s="28" t="s">
        <v>76</v>
      </c>
      <c r="F6" s="28" t="s">
        <v>77</v>
      </c>
      <c r="G6" s="29" t="s">
        <v>220</v>
      </c>
      <c r="H6" s="45" t="s">
        <v>215</v>
      </c>
      <c r="I6" s="28" t="str">
        <f>"1200,0"</f>
        <v>1200,0</v>
      </c>
      <c r="J6" s="29" t="str">
        <f>"1005,9600"</f>
        <v>1005,9600</v>
      </c>
      <c r="K6" s="28" t="s">
        <v>387</v>
      </c>
    </row>
    <row r="8" spans="1:10" ht="15">
      <c r="A8" s="27" t="s">
        <v>79</v>
      </c>
      <c r="B8" s="27"/>
      <c r="C8" s="27"/>
      <c r="D8" s="27"/>
      <c r="E8" s="27"/>
      <c r="F8" s="27"/>
      <c r="G8" s="27"/>
      <c r="H8" s="27"/>
      <c r="I8" s="27"/>
      <c r="J8" s="27"/>
    </row>
    <row r="9" spans="1:11" ht="12.75">
      <c r="A9" s="28" t="s">
        <v>258</v>
      </c>
      <c r="B9" s="28" t="s">
        <v>386</v>
      </c>
      <c r="C9" s="28" t="s">
        <v>82</v>
      </c>
      <c r="D9" s="28" t="str">
        <f>"0,7786"</f>
        <v>0,7786</v>
      </c>
      <c r="E9" s="28" t="s">
        <v>76</v>
      </c>
      <c r="F9" s="28" t="s">
        <v>77</v>
      </c>
      <c r="G9" s="29" t="s">
        <v>221</v>
      </c>
      <c r="H9" s="45" t="s">
        <v>178</v>
      </c>
      <c r="I9" s="28" t="str">
        <f>"1690,0"</f>
        <v>1690,0</v>
      </c>
      <c r="J9" s="29" t="str">
        <f>"1315,8340"</f>
        <v>1315,8340</v>
      </c>
      <c r="K9" s="28" t="s">
        <v>260</v>
      </c>
    </row>
    <row r="11" ht="15">
      <c r="E11" s="19" t="s">
        <v>12</v>
      </c>
    </row>
    <row r="12" ht="15">
      <c r="E12" s="19" t="s">
        <v>13</v>
      </c>
    </row>
    <row r="13" ht="15">
      <c r="E13" s="19" t="s">
        <v>14</v>
      </c>
    </row>
    <row r="14" ht="15">
      <c r="E14" s="19" t="s">
        <v>15</v>
      </c>
    </row>
    <row r="15" ht="15">
      <c r="E15" s="19"/>
    </row>
    <row r="17" spans="1:2" ht="18">
      <c r="A17" s="20" t="s">
        <v>16</v>
      </c>
      <c r="B17" s="20"/>
    </row>
    <row r="18" spans="1:2" ht="15">
      <c r="A18" s="32" t="s">
        <v>64</v>
      </c>
      <c r="B18" s="32"/>
    </row>
    <row r="19" spans="1:2" ht="14.25">
      <c r="A19" s="34"/>
      <c r="B19" s="35" t="s">
        <v>329</v>
      </c>
    </row>
    <row r="20" spans="1:5" ht="15">
      <c r="A20" s="36" t="s">
        <v>65</v>
      </c>
      <c r="B20" s="36" t="s">
        <v>66</v>
      </c>
      <c r="C20" s="36" t="s">
        <v>67</v>
      </c>
      <c r="D20" s="36" t="s">
        <v>68</v>
      </c>
      <c r="E20" s="36" t="s">
        <v>385</v>
      </c>
    </row>
  </sheetData>
  <sheetProtection/>
  <mergeCells count="13">
    <mergeCell ref="E3:E4"/>
    <mergeCell ref="F3:F4"/>
    <mergeCell ref="G3:H3"/>
    <mergeCell ref="I3:I4"/>
    <mergeCell ref="J3:J4"/>
    <mergeCell ref="K3:K4"/>
    <mergeCell ref="A5:J5"/>
    <mergeCell ref="A8:J8"/>
    <mergeCell ref="A1:K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6">
      <selection activeCell="E34" sqref="E34"/>
    </sheetView>
  </sheetViews>
  <sheetFormatPr defaultColWidth="9.00390625" defaultRowHeight="12.75"/>
  <cols>
    <col min="1" max="1" width="28.00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1.75390625" style="5" bestFit="1" customWidth="1"/>
    <col min="7" max="7" width="5.75390625" style="4" customWidth="1"/>
    <col min="8" max="8" width="9.875" style="44" customWidth="1"/>
    <col min="9" max="9" width="8.75390625" style="5" customWidth="1"/>
    <col min="10" max="10" width="9.625" style="4" bestFit="1" customWidth="1"/>
    <col min="11" max="11" width="12.25390625" style="5" bestFit="1" customWidth="1"/>
    <col min="12" max="16384" width="9.125" style="4" customWidth="1"/>
  </cols>
  <sheetData>
    <row r="1" spans="1:11" s="3" customFormat="1" ht="28.5" customHeight="1">
      <c r="A1" s="18" t="s">
        <v>425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s="1" customFormat="1" ht="12.75" customHeight="1">
      <c r="A3" s="12" t="s">
        <v>0</v>
      </c>
      <c r="B3" s="14" t="s">
        <v>9</v>
      </c>
      <c r="C3" s="14" t="s">
        <v>11</v>
      </c>
      <c r="D3" s="11" t="s">
        <v>395</v>
      </c>
      <c r="E3" s="11" t="s">
        <v>7</v>
      </c>
      <c r="F3" s="11" t="s">
        <v>10</v>
      </c>
      <c r="G3" s="11" t="s">
        <v>394</v>
      </c>
      <c r="H3" s="11"/>
      <c r="I3" s="11" t="s">
        <v>393</v>
      </c>
      <c r="J3" s="11" t="s">
        <v>6</v>
      </c>
      <c r="K3" s="16" t="s">
        <v>5</v>
      </c>
    </row>
    <row r="4" spans="1:11" s="1" customFormat="1" ht="21" customHeight="1" thickBot="1">
      <c r="A4" s="13"/>
      <c r="B4" s="15"/>
      <c r="C4" s="15"/>
      <c r="D4" s="15"/>
      <c r="E4" s="15"/>
      <c r="F4" s="15"/>
      <c r="G4" s="2" t="s">
        <v>392</v>
      </c>
      <c r="H4" s="46" t="s">
        <v>391</v>
      </c>
      <c r="I4" s="15"/>
      <c r="J4" s="15"/>
      <c r="K4" s="17"/>
    </row>
    <row r="5" spans="1:10" ht="15">
      <c r="A5" s="21" t="s">
        <v>79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ht="12.75">
      <c r="A6" s="22" t="s">
        <v>189</v>
      </c>
      <c r="B6" s="22" t="s">
        <v>266</v>
      </c>
      <c r="C6" s="22" t="s">
        <v>192</v>
      </c>
      <c r="D6" s="22" t="str">
        <f>"0,7733"</f>
        <v>0,7733</v>
      </c>
      <c r="E6" s="22" t="s">
        <v>22</v>
      </c>
      <c r="F6" s="22" t="s">
        <v>23</v>
      </c>
      <c r="G6" s="24" t="s">
        <v>234</v>
      </c>
      <c r="H6" s="49" t="s">
        <v>400</v>
      </c>
      <c r="I6" s="22" t="str">
        <f>"2015,0"</f>
        <v>2015,0</v>
      </c>
      <c r="J6" s="24" t="str">
        <f>"1558,1995"</f>
        <v>1558,1995</v>
      </c>
      <c r="K6" s="22" t="s">
        <v>194</v>
      </c>
    </row>
    <row r="7" spans="1:11" ht="12.75">
      <c r="A7" s="38" t="s">
        <v>424</v>
      </c>
      <c r="B7" s="38" t="s">
        <v>262</v>
      </c>
      <c r="C7" s="38" t="s">
        <v>192</v>
      </c>
      <c r="D7" s="38" t="str">
        <f>"0,7733"</f>
        <v>0,7733</v>
      </c>
      <c r="E7" s="38" t="s">
        <v>76</v>
      </c>
      <c r="F7" s="38" t="s">
        <v>263</v>
      </c>
      <c r="G7" s="40" t="s">
        <v>234</v>
      </c>
      <c r="H7" s="48" t="s">
        <v>423</v>
      </c>
      <c r="I7" s="38" t="str">
        <f>"1755,0"</f>
        <v>1755,0</v>
      </c>
      <c r="J7" s="40" t="str">
        <f>"1357,1415"</f>
        <v>1357,1415</v>
      </c>
      <c r="K7" s="38" t="s">
        <v>264</v>
      </c>
    </row>
    <row r="8" spans="1:11" ht="12.75">
      <c r="A8" s="25" t="s">
        <v>267</v>
      </c>
      <c r="B8" s="25" t="s">
        <v>422</v>
      </c>
      <c r="C8" s="25" t="s">
        <v>192</v>
      </c>
      <c r="D8" s="25" t="str">
        <f>"0,7733"</f>
        <v>0,7733</v>
      </c>
      <c r="E8" s="25" t="s">
        <v>22</v>
      </c>
      <c r="F8" s="25" t="s">
        <v>23</v>
      </c>
      <c r="G8" s="31" t="s">
        <v>234</v>
      </c>
      <c r="H8" s="47" t="s">
        <v>400</v>
      </c>
      <c r="I8" s="25" t="str">
        <f>"2015,0"</f>
        <v>2015,0</v>
      </c>
      <c r="J8" s="31" t="str">
        <f>"1815,3024"</f>
        <v>1815,3024</v>
      </c>
      <c r="K8" s="25" t="s">
        <v>194</v>
      </c>
    </row>
    <row r="10" spans="1:10" ht="15">
      <c r="A10" s="27" t="s">
        <v>72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1" ht="12.75">
      <c r="A11" s="28" t="s">
        <v>421</v>
      </c>
      <c r="B11" s="28" t="s">
        <v>276</v>
      </c>
      <c r="C11" s="28" t="s">
        <v>277</v>
      </c>
      <c r="D11" s="28" t="str">
        <f>"0,7348"</f>
        <v>0,7348</v>
      </c>
      <c r="E11" s="28" t="s">
        <v>76</v>
      </c>
      <c r="F11" s="28" t="s">
        <v>207</v>
      </c>
      <c r="G11" s="29" t="s">
        <v>149</v>
      </c>
      <c r="H11" s="50" t="s">
        <v>420</v>
      </c>
      <c r="I11" s="28" t="str">
        <f>"1750,0"</f>
        <v>1750,0</v>
      </c>
      <c r="J11" s="29" t="str">
        <f>"1285,9875"</f>
        <v>1285,9875</v>
      </c>
      <c r="K11" s="28" t="s">
        <v>278</v>
      </c>
    </row>
    <row r="13" spans="1:10" ht="15">
      <c r="A13" s="27" t="s">
        <v>93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1" ht="12.75">
      <c r="A14" s="28" t="s">
        <v>419</v>
      </c>
      <c r="B14" s="28" t="s">
        <v>418</v>
      </c>
      <c r="C14" s="28" t="s">
        <v>296</v>
      </c>
      <c r="D14" s="28" t="str">
        <f>"0,6606"</f>
        <v>0,6606</v>
      </c>
      <c r="E14" s="28" t="s">
        <v>22</v>
      </c>
      <c r="F14" s="28" t="s">
        <v>23</v>
      </c>
      <c r="G14" s="29" t="s">
        <v>84</v>
      </c>
      <c r="H14" s="50" t="s">
        <v>417</v>
      </c>
      <c r="I14" s="28" t="str">
        <f>"1280,0"</f>
        <v>1280,0</v>
      </c>
      <c r="J14" s="29" t="str">
        <f>"845,5680"</f>
        <v>845,5680</v>
      </c>
      <c r="K14" s="28" t="s">
        <v>31</v>
      </c>
    </row>
    <row r="16" spans="1:10" ht="15">
      <c r="A16" s="27" t="s">
        <v>18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1" ht="12.75">
      <c r="A17" s="22" t="s">
        <v>306</v>
      </c>
      <c r="B17" s="22" t="s">
        <v>416</v>
      </c>
      <c r="C17" s="22" t="s">
        <v>308</v>
      </c>
      <c r="D17" s="22" t="str">
        <f>"0,6184"</f>
        <v>0,6184</v>
      </c>
      <c r="E17" s="22" t="s">
        <v>76</v>
      </c>
      <c r="F17" s="22" t="s">
        <v>309</v>
      </c>
      <c r="G17" s="24" t="s">
        <v>70</v>
      </c>
      <c r="H17" s="49" t="s">
        <v>415</v>
      </c>
      <c r="I17" s="22" t="str">
        <f>"2520,0"</f>
        <v>2520,0</v>
      </c>
      <c r="J17" s="24" t="str">
        <f>"1686,2905"</f>
        <v>1686,2905</v>
      </c>
      <c r="K17" s="22" t="s">
        <v>92</v>
      </c>
    </row>
    <row r="18" spans="1:11" ht="12.75">
      <c r="A18" s="25" t="s">
        <v>414</v>
      </c>
      <c r="B18" s="25" t="s">
        <v>413</v>
      </c>
      <c r="C18" s="25" t="s">
        <v>412</v>
      </c>
      <c r="D18" s="25" t="str">
        <f>"0,6181"</f>
        <v>0,6181</v>
      </c>
      <c r="E18" s="25" t="s">
        <v>76</v>
      </c>
      <c r="F18" s="25" t="s">
        <v>77</v>
      </c>
      <c r="G18" s="31" t="s">
        <v>70</v>
      </c>
      <c r="H18" s="47" t="s">
        <v>411</v>
      </c>
      <c r="I18" s="25" t="str">
        <f>"1350,0"</f>
        <v>1350,0</v>
      </c>
      <c r="J18" s="31" t="str">
        <f>"1022,1829"</f>
        <v>1022,1829</v>
      </c>
      <c r="K18" s="25" t="s">
        <v>31</v>
      </c>
    </row>
    <row r="20" spans="1:10" ht="15">
      <c r="A20" s="27" t="s">
        <v>40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1" ht="12.75">
      <c r="A21" s="22" t="s">
        <v>410</v>
      </c>
      <c r="B21" s="22" t="s">
        <v>20</v>
      </c>
      <c r="C21" s="22" t="s">
        <v>409</v>
      </c>
      <c r="D21" s="22" t="str">
        <f>"0,5977"</f>
        <v>0,5977</v>
      </c>
      <c r="E21" s="22" t="s">
        <v>22</v>
      </c>
      <c r="F21" s="22" t="s">
        <v>23</v>
      </c>
      <c r="G21" s="24" t="s">
        <v>155</v>
      </c>
      <c r="H21" s="49" t="s">
        <v>408</v>
      </c>
      <c r="I21" s="22" t="str">
        <f>"2470,0"</f>
        <v>2470,0</v>
      </c>
      <c r="J21" s="24" t="str">
        <f>"1476,3190"</f>
        <v>1476,3190</v>
      </c>
      <c r="K21" s="22" t="s">
        <v>92</v>
      </c>
    </row>
    <row r="22" spans="1:11" ht="12.75">
      <c r="A22" s="38" t="s">
        <v>407</v>
      </c>
      <c r="B22" s="38" t="s">
        <v>406</v>
      </c>
      <c r="C22" s="38" t="s">
        <v>405</v>
      </c>
      <c r="D22" s="38" t="str">
        <f>"0,6104"</f>
        <v>0,6104</v>
      </c>
      <c r="E22" s="38" t="s">
        <v>22</v>
      </c>
      <c r="F22" s="38" t="s">
        <v>23</v>
      </c>
      <c r="G22" s="40" t="s">
        <v>335</v>
      </c>
      <c r="H22" s="48" t="s">
        <v>404</v>
      </c>
      <c r="I22" s="38" t="str">
        <f>"3145,0"</f>
        <v>3145,0</v>
      </c>
      <c r="J22" s="40" t="str">
        <f>"1919,7081"</f>
        <v>1919,7081</v>
      </c>
      <c r="K22" s="38" t="s">
        <v>92</v>
      </c>
    </row>
    <row r="23" spans="1:11" ht="12.75">
      <c r="A23" s="25" t="s">
        <v>403</v>
      </c>
      <c r="B23" s="25" t="s">
        <v>402</v>
      </c>
      <c r="C23" s="25" t="s">
        <v>401</v>
      </c>
      <c r="D23" s="25" t="str">
        <f>"0,6093"</f>
        <v>0,6093</v>
      </c>
      <c r="E23" s="25" t="s">
        <v>76</v>
      </c>
      <c r="F23" s="25" t="s">
        <v>207</v>
      </c>
      <c r="G23" s="31" t="s">
        <v>335</v>
      </c>
      <c r="H23" s="47" t="s">
        <v>400</v>
      </c>
      <c r="I23" s="25" t="str">
        <f>"2867,5"</f>
        <v>2867,5</v>
      </c>
      <c r="J23" s="31" t="str">
        <f>"1747,1678"</f>
        <v>1747,1678</v>
      </c>
      <c r="K23" s="25" t="s">
        <v>92</v>
      </c>
    </row>
    <row r="25" ht="15">
      <c r="E25" s="19" t="s">
        <v>12</v>
      </c>
    </row>
    <row r="26" ht="15">
      <c r="E26" s="19" t="s">
        <v>13</v>
      </c>
    </row>
    <row r="27" ht="15">
      <c r="E27" s="19" t="s">
        <v>14</v>
      </c>
    </row>
    <row r="28" ht="15">
      <c r="E28" s="19" t="s">
        <v>15</v>
      </c>
    </row>
    <row r="29" ht="15">
      <c r="E29" s="19"/>
    </row>
    <row r="31" spans="1:2" ht="18">
      <c r="A31" s="20" t="s">
        <v>16</v>
      </c>
      <c r="B31" s="20"/>
    </row>
    <row r="32" spans="1:2" ht="15">
      <c r="A32" s="32" t="s">
        <v>64</v>
      </c>
      <c r="B32" s="32"/>
    </row>
    <row r="33" spans="1:2" ht="14.25">
      <c r="A33" s="34"/>
      <c r="B33" s="35" t="s">
        <v>71</v>
      </c>
    </row>
    <row r="34" spans="1:5" ht="15">
      <c r="A34" s="36" t="s">
        <v>65</v>
      </c>
      <c r="B34" s="36" t="s">
        <v>66</v>
      </c>
      <c r="C34" s="36" t="s">
        <v>67</v>
      </c>
      <c r="D34" s="36" t="s">
        <v>68</v>
      </c>
      <c r="E34" s="36" t="s">
        <v>385</v>
      </c>
    </row>
    <row r="35" spans="1:5" ht="12.75">
      <c r="A35" s="33" t="s">
        <v>399</v>
      </c>
      <c r="B35" s="5" t="s">
        <v>71</v>
      </c>
      <c r="C35" s="5" t="s">
        <v>39</v>
      </c>
      <c r="D35" s="5" t="s">
        <v>398</v>
      </c>
      <c r="E35" s="37" t="s">
        <v>397</v>
      </c>
    </row>
  </sheetData>
  <sheetProtection/>
  <mergeCells count="16">
    <mergeCell ref="A1:K2"/>
    <mergeCell ref="G3:H3"/>
    <mergeCell ref="A3:A4"/>
    <mergeCell ref="B3:B4"/>
    <mergeCell ref="C3:C4"/>
    <mergeCell ref="K3:K4"/>
    <mergeCell ref="F3:F4"/>
    <mergeCell ref="E3:E4"/>
    <mergeCell ref="A16:J16"/>
    <mergeCell ref="A20:J20"/>
    <mergeCell ref="D3:D4"/>
    <mergeCell ref="I3:I4"/>
    <mergeCell ref="J3:J4"/>
    <mergeCell ref="A5:J5"/>
    <mergeCell ref="A10:J10"/>
    <mergeCell ref="A13:J1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27.25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8.625" style="5" bestFit="1" customWidth="1"/>
    <col min="7" max="7" width="6.25390625" style="4" customWidth="1"/>
    <col min="8" max="8" width="10.125" style="44" customWidth="1"/>
    <col min="9" max="9" width="7.875" style="5" bestFit="1" customWidth="1"/>
    <col min="10" max="10" width="9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18" t="s">
        <v>437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s="1" customFormat="1" ht="12.75" customHeight="1">
      <c r="A3" s="12" t="s">
        <v>0</v>
      </c>
      <c r="B3" s="14" t="s">
        <v>9</v>
      </c>
      <c r="C3" s="14" t="s">
        <v>11</v>
      </c>
      <c r="D3" s="11" t="s">
        <v>395</v>
      </c>
      <c r="E3" s="11" t="s">
        <v>7</v>
      </c>
      <c r="F3" s="11" t="s">
        <v>10</v>
      </c>
      <c r="G3" s="11" t="s">
        <v>394</v>
      </c>
      <c r="H3" s="11"/>
      <c r="I3" s="11" t="s">
        <v>393</v>
      </c>
      <c r="J3" s="11" t="s">
        <v>6</v>
      </c>
      <c r="K3" s="16" t="s">
        <v>5</v>
      </c>
    </row>
    <row r="4" spans="1:11" s="1" customFormat="1" ht="21" customHeight="1" thickBot="1">
      <c r="A4" s="13"/>
      <c r="B4" s="15"/>
      <c r="C4" s="15"/>
      <c r="D4" s="15"/>
      <c r="E4" s="15"/>
      <c r="F4" s="15"/>
      <c r="G4" s="2" t="s">
        <v>392</v>
      </c>
      <c r="H4" s="46" t="s">
        <v>391</v>
      </c>
      <c r="I4" s="15"/>
      <c r="J4" s="15"/>
      <c r="K4" s="17"/>
    </row>
    <row r="5" spans="1:10" ht="15">
      <c r="A5" s="21" t="s">
        <v>40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ht="12.75">
      <c r="A6" s="22" t="s">
        <v>436</v>
      </c>
      <c r="B6" s="22" t="s">
        <v>435</v>
      </c>
      <c r="C6" s="22" t="s">
        <v>434</v>
      </c>
      <c r="D6" s="22" t="str">
        <f>"0,6112"</f>
        <v>0,6112</v>
      </c>
      <c r="E6" s="22" t="s">
        <v>22</v>
      </c>
      <c r="F6" s="22" t="s">
        <v>22</v>
      </c>
      <c r="G6" s="24" t="s">
        <v>335</v>
      </c>
      <c r="H6" s="49" t="s">
        <v>404</v>
      </c>
      <c r="I6" s="22" t="str">
        <f>"3145,0"</f>
        <v>3145,0</v>
      </c>
      <c r="J6" s="24" t="str">
        <f>"1922,0668"</f>
        <v>1922,0668</v>
      </c>
      <c r="K6" s="22" t="s">
        <v>92</v>
      </c>
    </row>
    <row r="7" spans="1:11" ht="12.75">
      <c r="A7" s="25" t="s">
        <v>433</v>
      </c>
      <c r="B7" s="25" t="s">
        <v>432</v>
      </c>
      <c r="C7" s="25" t="s">
        <v>115</v>
      </c>
      <c r="D7" s="25" t="str">
        <f>"0,5867"</f>
        <v>0,5867</v>
      </c>
      <c r="E7" s="42" t="s">
        <v>431</v>
      </c>
      <c r="F7" s="25" t="s">
        <v>77</v>
      </c>
      <c r="G7" s="31" t="s">
        <v>39</v>
      </c>
      <c r="H7" s="47" t="s">
        <v>430</v>
      </c>
      <c r="I7" s="25" t="str">
        <f>"2300,0"</f>
        <v>2300,0</v>
      </c>
      <c r="J7" s="31" t="str">
        <f>"1524,7034"</f>
        <v>1524,7034</v>
      </c>
      <c r="K7" s="25" t="s">
        <v>92</v>
      </c>
    </row>
    <row r="9" spans="1:10" ht="15">
      <c r="A9" s="27" t="s">
        <v>119</v>
      </c>
      <c r="B9" s="27"/>
      <c r="C9" s="27"/>
      <c r="D9" s="27"/>
      <c r="E9" s="27"/>
      <c r="F9" s="27"/>
      <c r="G9" s="27"/>
      <c r="H9" s="27"/>
      <c r="I9" s="27"/>
      <c r="J9" s="27"/>
    </row>
    <row r="10" spans="1:11" ht="12.75">
      <c r="A10" s="28" t="s">
        <v>429</v>
      </c>
      <c r="B10" s="28" t="s">
        <v>428</v>
      </c>
      <c r="C10" s="28" t="s">
        <v>427</v>
      </c>
      <c r="D10" s="28" t="str">
        <f>"0,5778"</f>
        <v>0,5778</v>
      </c>
      <c r="E10" s="28" t="s">
        <v>76</v>
      </c>
      <c r="F10" s="28" t="s">
        <v>97</v>
      </c>
      <c r="G10" s="29" t="s">
        <v>426</v>
      </c>
      <c r="H10" s="50" t="s">
        <v>400</v>
      </c>
      <c r="I10" s="28" t="str">
        <f>"3177,5"</f>
        <v>3177,5</v>
      </c>
      <c r="J10" s="29" t="str">
        <f>"1835,9594"</f>
        <v>1835,9594</v>
      </c>
      <c r="K10" s="28" t="s">
        <v>92</v>
      </c>
    </row>
    <row r="12" ht="15">
      <c r="E12" s="19" t="s">
        <v>12</v>
      </c>
    </row>
    <row r="13" ht="15">
      <c r="E13" s="19" t="s">
        <v>13</v>
      </c>
    </row>
    <row r="14" ht="15">
      <c r="E14" s="19" t="s">
        <v>14</v>
      </c>
    </row>
    <row r="15" ht="15">
      <c r="E15" s="19" t="s">
        <v>15</v>
      </c>
    </row>
    <row r="16" ht="15">
      <c r="E16" s="19"/>
    </row>
    <row r="18" spans="1:2" ht="18">
      <c r="A18" s="20" t="s">
        <v>16</v>
      </c>
      <c r="B18" s="20"/>
    </row>
    <row r="19" spans="1:2" ht="15">
      <c r="A19" s="32" t="s">
        <v>64</v>
      </c>
      <c r="B19" s="32"/>
    </row>
    <row r="20" spans="1:2" ht="14.25">
      <c r="A20" s="34"/>
      <c r="B20" s="35" t="s">
        <v>71</v>
      </c>
    </row>
    <row r="21" spans="1:5" ht="15">
      <c r="A21" s="36" t="s">
        <v>65</v>
      </c>
      <c r="B21" s="36" t="s">
        <v>66</v>
      </c>
      <c r="C21" s="36" t="s">
        <v>67</v>
      </c>
      <c r="D21" s="36" t="s">
        <v>68</v>
      </c>
      <c r="E21" s="36" t="s">
        <v>385</v>
      </c>
    </row>
  </sheetData>
  <sheetProtection/>
  <mergeCells count="13">
    <mergeCell ref="E3:E4"/>
    <mergeCell ref="F3:F4"/>
    <mergeCell ref="G3:H3"/>
    <mergeCell ref="I3:I4"/>
    <mergeCell ref="J3:J4"/>
    <mergeCell ref="K3:K4"/>
    <mergeCell ref="A5:J5"/>
    <mergeCell ref="A9:J9"/>
    <mergeCell ref="A1:K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E3" sqref="E3:E4"/>
    </sheetView>
  </sheetViews>
  <sheetFormatPr defaultColWidth="9.00390625" defaultRowHeight="12.75"/>
  <cols>
    <col min="1" max="1" width="26.0039062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1.1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18" t="s">
        <v>375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21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1</v>
      </c>
      <c r="H3" s="11"/>
      <c r="I3" s="11"/>
      <c r="J3" s="11"/>
      <c r="K3" s="11" t="s">
        <v>2</v>
      </c>
      <c r="L3" s="11"/>
      <c r="M3" s="11"/>
      <c r="N3" s="11"/>
      <c r="O3" s="11" t="s">
        <v>3</v>
      </c>
      <c r="P3" s="11"/>
      <c r="Q3" s="11"/>
      <c r="R3" s="11"/>
      <c r="S3" s="11" t="s">
        <v>4</v>
      </c>
      <c r="T3" s="11" t="s">
        <v>6</v>
      </c>
      <c r="U3" s="16" t="s">
        <v>5</v>
      </c>
    </row>
    <row r="4" spans="1:21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15"/>
      <c r="T4" s="15"/>
      <c r="U4" s="17"/>
    </row>
    <row r="5" spans="1:20" ht="15">
      <c r="A5" s="21" t="s">
        <v>93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1" ht="12.75">
      <c r="A6" s="28" t="s">
        <v>185</v>
      </c>
      <c r="B6" s="28" t="s">
        <v>186</v>
      </c>
      <c r="C6" s="28" t="s">
        <v>187</v>
      </c>
      <c r="D6" s="28" t="str">
        <f>"0,6785"</f>
        <v>0,6785</v>
      </c>
      <c r="E6" s="28" t="s">
        <v>76</v>
      </c>
      <c r="F6" s="28" t="s">
        <v>188</v>
      </c>
      <c r="G6" s="30" t="s">
        <v>91</v>
      </c>
      <c r="H6" s="29" t="s">
        <v>91</v>
      </c>
      <c r="I6" s="30" t="s">
        <v>98</v>
      </c>
      <c r="J6" s="30"/>
      <c r="K6" s="29" t="s">
        <v>39</v>
      </c>
      <c r="L6" s="30" t="s">
        <v>107</v>
      </c>
      <c r="M6" s="30" t="s">
        <v>107</v>
      </c>
      <c r="N6" s="30"/>
      <c r="O6" s="29" t="s">
        <v>99</v>
      </c>
      <c r="P6" s="29" t="s">
        <v>46</v>
      </c>
      <c r="Q6" s="29" t="s">
        <v>169</v>
      </c>
      <c r="R6" s="30"/>
      <c r="S6" s="28" t="str">
        <f>"395,0"</f>
        <v>395,0</v>
      </c>
      <c r="T6" s="29" t="str">
        <f>"268,0075"</f>
        <v>268,0075</v>
      </c>
      <c r="U6" s="41" t="s">
        <v>373</v>
      </c>
    </row>
    <row r="8" ht="15">
      <c r="E8" s="19" t="s">
        <v>12</v>
      </c>
    </row>
    <row r="9" ht="15">
      <c r="E9" s="19" t="s">
        <v>13</v>
      </c>
    </row>
    <row r="10" ht="15">
      <c r="E10" s="19" t="s">
        <v>14</v>
      </c>
    </row>
    <row r="11" ht="15">
      <c r="E11" s="19" t="s">
        <v>15</v>
      </c>
    </row>
    <row r="12" ht="15">
      <c r="E12" s="19"/>
    </row>
    <row r="14" spans="1:2" ht="18">
      <c r="A14" s="20" t="s">
        <v>16</v>
      </c>
      <c r="B14" s="20"/>
    </row>
    <row r="15" spans="1:2" ht="15">
      <c r="A15" s="32" t="s">
        <v>64</v>
      </c>
      <c r="B15" s="32"/>
    </row>
    <row r="16" spans="1:2" ht="14.25">
      <c r="A16" s="34"/>
      <c r="B16" s="35" t="s">
        <v>71</v>
      </c>
    </row>
    <row r="17" spans="1:5" ht="15">
      <c r="A17" s="36" t="s">
        <v>65</v>
      </c>
      <c r="B17" s="36" t="s">
        <v>66</v>
      </c>
      <c r="C17" s="36" t="s">
        <v>67</v>
      </c>
      <c r="D17" s="36" t="s">
        <v>68</v>
      </c>
      <c r="E17" s="36" t="s">
        <v>69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37">
      <selection activeCell="A36" sqref="A36:IV36"/>
    </sheetView>
  </sheetViews>
  <sheetFormatPr defaultColWidth="9.00390625" defaultRowHeight="12.75"/>
  <cols>
    <col min="1" max="1" width="28.75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4.375" style="5" bestFit="1" customWidth="1"/>
    <col min="7" max="9" width="5.625" style="4" bestFit="1" customWidth="1"/>
    <col min="10" max="10" width="4.875" style="4" bestFit="1" customWidth="1"/>
    <col min="11" max="11" width="11.375" style="5" customWidth="1"/>
    <col min="12" max="12" width="8.625" style="4" bestFit="1" customWidth="1"/>
    <col min="13" max="13" width="23.375" style="5" bestFit="1" customWidth="1"/>
    <col min="14" max="16384" width="9.125" style="4" customWidth="1"/>
  </cols>
  <sheetData>
    <row r="1" spans="1:13" s="3" customFormat="1" ht="28.5" customHeight="1">
      <c r="A1" s="18" t="s">
        <v>374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2</v>
      </c>
      <c r="H3" s="11"/>
      <c r="I3" s="11"/>
      <c r="J3" s="11"/>
      <c r="K3" s="11" t="s">
        <v>136</v>
      </c>
      <c r="L3" s="11" t="s">
        <v>6</v>
      </c>
      <c r="M3" s="16" t="s">
        <v>5</v>
      </c>
    </row>
    <row r="4" spans="1:13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15"/>
      <c r="L4" s="15"/>
      <c r="M4" s="17"/>
    </row>
    <row r="5" spans="1:12" ht="15">
      <c r="A5" s="21" t="s">
        <v>210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2.75">
      <c r="A6" s="22" t="s">
        <v>211</v>
      </c>
      <c r="B6" s="22" t="s">
        <v>212</v>
      </c>
      <c r="C6" s="22" t="s">
        <v>213</v>
      </c>
      <c r="D6" s="22" t="str">
        <f>"1,3244"</f>
        <v>1,3244</v>
      </c>
      <c r="E6" s="22" t="s">
        <v>76</v>
      </c>
      <c r="F6" s="22" t="s">
        <v>214</v>
      </c>
      <c r="G6" s="24" t="s">
        <v>215</v>
      </c>
      <c r="H6" s="23" t="s">
        <v>216</v>
      </c>
      <c r="I6" s="24" t="s">
        <v>217</v>
      </c>
      <c r="J6" s="23"/>
      <c r="K6" s="22" t="str">
        <f>"47,5"</f>
        <v>47,5</v>
      </c>
      <c r="L6" s="24" t="str">
        <f>"62,9090"</f>
        <v>62,9090</v>
      </c>
      <c r="M6" s="22" t="s">
        <v>31</v>
      </c>
    </row>
    <row r="7" spans="1:13" ht="12.75">
      <c r="A7" s="25" t="s">
        <v>218</v>
      </c>
      <c r="B7" s="25" t="s">
        <v>219</v>
      </c>
      <c r="C7" s="25" t="s">
        <v>213</v>
      </c>
      <c r="D7" s="25" t="str">
        <f>"1,3244"</f>
        <v>1,3244</v>
      </c>
      <c r="E7" s="42" t="s">
        <v>76</v>
      </c>
      <c r="F7" s="25" t="s">
        <v>90</v>
      </c>
      <c r="G7" s="31" t="s">
        <v>220</v>
      </c>
      <c r="H7" s="31" t="s">
        <v>221</v>
      </c>
      <c r="I7" s="26" t="s">
        <v>222</v>
      </c>
      <c r="J7" s="26"/>
      <c r="K7" s="25" t="str">
        <f>"32,5"</f>
        <v>32,5</v>
      </c>
      <c r="L7" s="31" t="str">
        <f>"43,0430"</f>
        <v>43,0430</v>
      </c>
      <c r="M7" s="25" t="s">
        <v>223</v>
      </c>
    </row>
    <row r="9" spans="1:12" ht="15">
      <c r="A9" s="27" t="s">
        <v>145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ht="12.75">
      <c r="A10" s="28" t="s">
        <v>224</v>
      </c>
      <c r="B10" s="28" t="s">
        <v>225</v>
      </c>
      <c r="C10" s="28" t="s">
        <v>226</v>
      </c>
      <c r="D10" s="28" t="str">
        <f>"1,2466"</f>
        <v>1,2466</v>
      </c>
      <c r="E10" s="28" t="s">
        <v>22</v>
      </c>
      <c r="F10" s="28" t="s">
        <v>23</v>
      </c>
      <c r="G10" s="29" t="s">
        <v>216</v>
      </c>
      <c r="H10" s="30" t="s">
        <v>38</v>
      </c>
      <c r="I10" s="30" t="s">
        <v>38</v>
      </c>
      <c r="J10" s="30"/>
      <c r="K10" s="28" t="str">
        <f>"45,0"</f>
        <v>45,0</v>
      </c>
      <c r="L10" s="29" t="str">
        <f>"56,0970"</f>
        <v>56,0970</v>
      </c>
      <c r="M10" s="28" t="s">
        <v>228</v>
      </c>
    </row>
    <row r="12" spans="1:12" ht="15">
      <c r="A12" s="27" t="s">
        <v>229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2.75">
      <c r="A13" s="22" t="s">
        <v>230</v>
      </c>
      <c r="B13" s="22" t="s">
        <v>231</v>
      </c>
      <c r="C13" s="22" t="s">
        <v>232</v>
      </c>
      <c r="D13" s="22" t="str">
        <f>"1,1967"</f>
        <v>1,1967</v>
      </c>
      <c r="E13" s="22" t="s">
        <v>76</v>
      </c>
      <c r="F13" s="22" t="s">
        <v>77</v>
      </c>
      <c r="G13" s="24" t="s">
        <v>233</v>
      </c>
      <c r="H13" s="24" t="s">
        <v>144</v>
      </c>
      <c r="I13" s="24" t="s">
        <v>234</v>
      </c>
      <c r="J13" s="23"/>
      <c r="K13" s="22" t="str">
        <f>"65,0"</f>
        <v>65,0</v>
      </c>
      <c r="L13" s="24" t="str">
        <f>"77,7855"</f>
        <v>77,7855</v>
      </c>
      <c r="M13" s="22" t="s">
        <v>78</v>
      </c>
    </row>
    <row r="14" spans="1:13" ht="12.75">
      <c r="A14" s="25" t="s">
        <v>235</v>
      </c>
      <c r="B14" s="25" t="s">
        <v>236</v>
      </c>
      <c r="C14" s="25" t="s">
        <v>237</v>
      </c>
      <c r="D14" s="25" t="str">
        <f>"1,2141"</f>
        <v>1,2141</v>
      </c>
      <c r="E14" s="25" t="s">
        <v>76</v>
      </c>
      <c r="F14" s="25" t="s">
        <v>77</v>
      </c>
      <c r="G14" s="31" t="s">
        <v>222</v>
      </c>
      <c r="H14" s="31" t="s">
        <v>215</v>
      </c>
      <c r="I14" s="31" t="s">
        <v>216</v>
      </c>
      <c r="J14" s="26"/>
      <c r="K14" s="25" t="str">
        <f>"45,0"</f>
        <v>45,0</v>
      </c>
      <c r="L14" s="31" t="str">
        <f>"54,6345"</f>
        <v>54,6345</v>
      </c>
      <c r="M14" s="25" t="s">
        <v>238</v>
      </c>
    </row>
    <row r="16" spans="1:12" ht="15">
      <c r="A16" s="27" t="s">
        <v>137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3" ht="12.75">
      <c r="A17" s="28" t="s">
        <v>240</v>
      </c>
      <c r="B17" s="28" t="s">
        <v>241</v>
      </c>
      <c r="C17" s="28" t="s">
        <v>242</v>
      </c>
      <c r="D17" s="28" t="str">
        <f>"1,1178"</f>
        <v>1,1178</v>
      </c>
      <c r="E17" s="28" t="s">
        <v>22</v>
      </c>
      <c r="F17" s="28" t="s">
        <v>23</v>
      </c>
      <c r="G17" s="29" t="s">
        <v>134</v>
      </c>
      <c r="H17" s="29" t="s">
        <v>243</v>
      </c>
      <c r="I17" s="29" t="s">
        <v>133</v>
      </c>
      <c r="J17" s="30"/>
      <c r="K17" s="28" t="str">
        <f>"75,0"</f>
        <v>75,0</v>
      </c>
      <c r="L17" s="29" t="str">
        <f>"83,8350"</f>
        <v>83,8350</v>
      </c>
      <c r="M17" s="28" t="s">
        <v>244</v>
      </c>
    </row>
    <row r="19" spans="1:12" ht="15">
      <c r="A19" s="27" t="s">
        <v>72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3" ht="12.75">
      <c r="A20" s="22" t="s">
        <v>245</v>
      </c>
      <c r="B20" s="22" t="s">
        <v>246</v>
      </c>
      <c r="C20" s="22" t="s">
        <v>247</v>
      </c>
      <c r="D20" s="22" t="str">
        <f>"0,9530"</f>
        <v>0,9530</v>
      </c>
      <c r="E20" s="22" t="s">
        <v>76</v>
      </c>
      <c r="F20" s="22" t="s">
        <v>77</v>
      </c>
      <c r="G20" s="24" t="s">
        <v>215</v>
      </c>
      <c r="H20" s="24" t="s">
        <v>248</v>
      </c>
      <c r="I20" s="23" t="s">
        <v>216</v>
      </c>
      <c r="J20" s="23"/>
      <c r="K20" s="22" t="str">
        <f>"42,5"</f>
        <v>42,5</v>
      </c>
      <c r="L20" s="24" t="str">
        <f>"40,5025"</f>
        <v>40,5025</v>
      </c>
      <c r="M20" s="22" t="s">
        <v>249</v>
      </c>
    </row>
    <row r="21" spans="1:13" ht="12.75">
      <c r="A21" s="25" t="s">
        <v>250</v>
      </c>
      <c r="B21" s="25" t="s">
        <v>251</v>
      </c>
      <c r="C21" s="25" t="s">
        <v>252</v>
      </c>
      <c r="D21" s="25" t="str">
        <f>"1,0100"</f>
        <v>1,0100</v>
      </c>
      <c r="E21" s="25" t="s">
        <v>22</v>
      </c>
      <c r="F21" s="25" t="s">
        <v>23</v>
      </c>
      <c r="G21" s="31" t="s">
        <v>222</v>
      </c>
      <c r="H21" s="26" t="s">
        <v>253</v>
      </c>
      <c r="I21" s="26"/>
      <c r="J21" s="26"/>
      <c r="K21" s="25" t="str">
        <f>"35,0"</f>
        <v>35,0</v>
      </c>
      <c r="L21" s="31" t="str">
        <f>"36,8700"</f>
        <v>36,8700</v>
      </c>
      <c r="M21" s="25" t="s">
        <v>254</v>
      </c>
    </row>
    <row r="23" spans="1:12" ht="15">
      <c r="A23" s="27" t="s">
        <v>137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3" ht="12.75">
      <c r="A24" s="28" t="s">
        <v>255</v>
      </c>
      <c r="B24" s="28" t="s">
        <v>256</v>
      </c>
      <c r="C24" s="28" t="s">
        <v>257</v>
      </c>
      <c r="D24" s="28" t="str">
        <f>"0,8594"</f>
        <v>0,8594</v>
      </c>
      <c r="E24" s="28" t="s">
        <v>22</v>
      </c>
      <c r="F24" s="28" t="s">
        <v>23</v>
      </c>
      <c r="G24" s="30" t="s">
        <v>144</v>
      </c>
      <c r="H24" s="30" t="s">
        <v>84</v>
      </c>
      <c r="I24" s="30" t="s">
        <v>39</v>
      </c>
      <c r="J24" s="30"/>
      <c r="K24" s="28" t="str">
        <f>"0,0"</f>
        <v>0,0</v>
      </c>
      <c r="L24" s="29" t="str">
        <f>"0,0000"</f>
        <v>0,0000</v>
      </c>
      <c r="M24" s="28" t="s">
        <v>31</v>
      </c>
    </row>
    <row r="26" spans="1:12" ht="15">
      <c r="A26" s="27" t="s">
        <v>79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3" ht="12.75">
      <c r="A27" s="22" t="s">
        <v>258</v>
      </c>
      <c r="B27" s="22" t="s">
        <v>259</v>
      </c>
      <c r="C27" s="22" t="s">
        <v>82</v>
      </c>
      <c r="D27" s="22" t="str">
        <f>"0,8004"</f>
        <v>0,8004</v>
      </c>
      <c r="E27" s="22" t="s">
        <v>76</v>
      </c>
      <c r="F27" s="22" t="s">
        <v>77</v>
      </c>
      <c r="G27" s="24" t="s">
        <v>144</v>
      </c>
      <c r="H27" s="24" t="s">
        <v>234</v>
      </c>
      <c r="I27" s="24" t="s">
        <v>149</v>
      </c>
      <c r="J27" s="23"/>
      <c r="K27" s="22" t="str">
        <f>"70,0"</f>
        <v>70,0</v>
      </c>
      <c r="L27" s="24" t="str">
        <f>"56,0280"</f>
        <v>56,0280</v>
      </c>
      <c r="M27" s="22" t="s">
        <v>260</v>
      </c>
    </row>
    <row r="28" spans="1:13" ht="12.75">
      <c r="A28" s="38" t="s">
        <v>261</v>
      </c>
      <c r="B28" s="38" t="s">
        <v>262</v>
      </c>
      <c r="C28" s="38" t="s">
        <v>192</v>
      </c>
      <c r="D28" s="38" t="str">
        <f>"0,7952"</f>
        <v>0,7952</v>
      </c>
      <c r="E28" s="38" t="s">
        <v>76</v>
      </c>
      <c r="F28" s="38" t="s">
        <v>263</v>
      </c>
      <c r="G28" s="40" t="s">
        <v>141</v>
      </c>
      <c r="H28" s="40" t="s">
        <v>26</v>
      </c>
      <c r="I28" s="39"/>
      <c r="J28" s="39"/>
      <c r="K28" s="38" t="str">
        <f>"125,0"</f>
        <v>125,0</v>
      </c>
      <c r="L28" s="40" t="str">
        <f>"99,4000"</f>
        <v>99,4000</v>
      </c>
      <c r="M28" s="38" t="s">
        <v>264</v>
      </c>
    </row>
    <row r="29" spans="1:13" ht="12.75">
      <c r="A29" s="38" t="s">
        <v>265</v>
      </c>
      <c r="B29" s="38" t="s">
        <v>266</v>
      </c>
      <c r="C29" s="38" t="s">
        <v>192</v>
      </c>
      <c r="D29" s="38" t="str">
        <f>"0,7952"</f>
        <v>0,7952</v>
      </c>
      <c r="E29" s="38" t="s">
        <v>22</v>
      </c>
      <c r="F29" s="38" t="s">
        <v>23</v>
      </c>
      <c r="G29" s="40" t="s">
        <v>107</v>
      </c>
      <c r="H29" s="40" t="s">
        <v>135</v>
      </c>
      <c r="I29" s="39"/>
      <c r="J29" s="39"/>
      <c r="K29" s="38" t="str">
        <f>"110,0"</f>
        <v>110,0</v>
      </c>
      <c r="L29" s="40" t="str">
        <f>"87,4720"</f>
        <v>87,4720</v>
      </c>
      <c r="M29" s="38" t="s">
        <v>194</v>
      </c>
    </row>
    <row r="30" spans="1:13" ht="12.75">
      <c r="A30" s="25" t="s">
        <v>267</v>
      </c>
      <c r="B30" s="25" t="s">
        <v>191</v>
      </c>
      <c r="C30" s="25" t="s">
        <v>192</v>
      </c>
      <c r="D30" s="25" t="str">
        <f>"0,7952"</f>
        <v>0,7952</v>
      </c>
      <c r="E30" s="25" t="s">
        <v>22</v>
      </c>
      <c r="F30" s="25" t="s">
        <v>23</v>
      </c>
      <c r="G30" s="31" t="s">
        <v>107</v>
      </c>
      <c r="H30" s="31" t="s">
        <v>135</v>
      </c>
      <c r="I30" s="26"/>
      <c r="J30" s="26"/>
      <c r="K30" s="25" t="str">
        <f>"110,0"</f>
        <v>110,0</v>
      </c>
      <c r="L30" s="31" t="str">
        <f>"101,9049"</f>
        <v>101,9049</v>
      </c>
      <c r="M30" s="25" t="s">
        <v>194</v>
      </c>
    </row>
    <row r="32" spans="1:12" ht="15">
      <c r="A32" s="27" t="s">
        <v>72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3" ht="12.75">
      <c r="A33" s="22" t="s">
        <v>269</v>
      </c>
      <c r="B33" s="22" t="s">
        <v>270</v>
      </c>
      <c r="C33" s="22" t="s">
        <v>271</v>
      </c>
      <c r="D33" s="22" t="str">
        <f>"0,7152"</f>
        <v>0,7152</v>
      </c>
      <c r="E33" s="22" t="s">
        <v>76</v>
      </c>
      <c r="F33" s="22" t="s">
        <v>207</v>
      </c>
      <c r="G33" s="24" t="s">
        <v>91</v>
      </c>
      <c r="H33" s="24" t="s">
        <v>272</v>
      </c>
      <c r="I33" s="24" t="s">
        <v>98</v>
      </c>
      <c r="J33" s="23"/>
      <c r="K33" s="22" t="str">
        <f>"140,0"</f>
        <v>140,0</v>
      </c>
      <c r="L33" s="24" t="str">
        <f>"100,1280"</f>
        <v>100,1280</v>
      </c>
      <c r="M33" s="22" t="s">
        <v>273</v>
      </c>
    </row>
    <row r="34" spans="1:13" ht="12.75">
      <c r="A34" s="38" t="s">
        <v>275</v>
      </c>
      <c r="B34" s="38" t="s">
        <v>276</v>
      </c>
      <c r="C34" s="38" t="s">
        <v>277</v>
      </c>
      <c r="D34" s="38" t="str">
        <f>"0,7578"</f>
        <v>0,7578</v>
      </c>
      <c r="E34" s="38" t="s">
        <v>76</v>
      </c>
      <c r="F34" s="38" t="s">
        <v>207</v>
      </c>
      <c r="G34" s="39" t="s">
        <v>91</v>
      </c>
      <c r="H34" s="39" t="s">
        <v>272</v>
      </c>
      <c r="I34" s="40" t="s">
        <v>272</v>
      </c>
      <c r="J34" s="39"/>
      <c r="K34" s="38" t="str">
        <f>"137,5"</f>
        <v>137,5</v>
      </c>
      <c r="L34" s="40" t="str">
        <f>"104,1975"</f>
        <v>104,1975</v>
      </c>
      <c r="M34" s="38" t="s">
        <v>278</v>
      </c>
    </row>
    <row r="35" spans="1:13" ht="12.75">
      <c r="A35" s="38" t="s">
        <v>280</v>
      </c>
      <c r="B35" s="38" t="s">
        <v>281</v>
      </c>
      <c r="C35" s="38" t="s">
        <v>282</v>
      </c>
      <c r="D35" s="38" t="str">
        <f>"0,7367"</f>
        <v>0,7367</v>
      </c>
      <c r="E35" s="38" t="s">
        <v>283</v>
      </c>
      <c r="F35" s="38" t="s">
        <v>284</v>
      </c>
      <c r="G35" s="40" t="s">
        <v>91</v>
      </c>
      <c r="H35" s="39" t="s">
        <v>272</v>
      </c>
      <c r="I35" s="40" t="s">
        <v>272</v>
      </c>
      <c r="J35" s="39"/>
      <c r="K35" s="38" t="str">
        <f>"137,5"</f>
        <v>137,5</v>
      </c>
      <c r="L35" s="40" t="str">
        <f>"101,2962"</f>
        <v>101,2962</v>
      </c>
      <c r="M35" s="38" t="s">
        <v>92</v>
      </c>
    </row>
    <row r="37" spans="1:12" ht="15">
      <c r="A37" s="27" t="s">
        <v>93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3" ht="12.75">
      <c r="A38" s="22" t="s">
        <v>285</v>
      </c>
      <c r="B38" s="22" t="s">
        <v>286</v>
      </c>
      <c r="C38" s="22" t="s">
        <v>287</v>
      </c>
      <c r="D38" s="22" t="str">
        <f>"0,6849"</f>
        <v>0,6849</v>
      </c>
      <c r="E38" s="22" t="s">
        <v>22</v>
      </c>
      <c r="F38" s="22" t="s">
        <v>23</v>
      </c>
      <c r="G38" s="24" t="s">
        <v>141</v>
      </c>
      <c r="H38" s="24" t="s">
        <v>91</v>
      </c>
      <c r="I38" s="24" t="s">
        <v>27</v>
      </c>
      <c r="J38" s="23"/>
      <c r="K38" s="22" t="str">
        <f>"135,0"</f>
        <v>135,0</v>
      </c>
      <c r="L38" s="24" t="str">
        <f>"92,4615"</f>
        <v>92,4615</v>
      </c>
      <c r="M38" s="22" t="s">
        <v>31</v>
      </c>
    </row>
    <row r="39" spans="1:13" ht="12.75">
      <c r="A39" s="38" t="s">
        <v>288</v>
      </c>
      <c r="B39" s="38" t="s">
        <v>241</v>
      </c>
      <c r="C39" s="38" t="s">
        <v>289</v>
      </c>
      <c r="D39" s="38" t="str">
        <f>"0,6769"</f>
        <v>0,6769</v>
      </c>
      <c r="E39" s="38" t="s">
        <v>76</v>
      </c>
      <c r="F39" s="38" t="s">
        <v>77</v>
      </c>
      <c r="G39" s="40" t="s">
        <v>107</v>
      </c>
      <c r="H39" s="40" t="s">
        <v>193</v>
      </c>
      <c r="I39" s="40" t="s">
        <v>91</v>
      </c>
      <c r="J39" s="39"/>
      <c r="K39" s="38" t="str">
        <f>"130,0"</f>
        <v>130,0</v>
      </c>
      <c r="L39" s="40" t="str">
        <f>"87,9970"</f>
        <v>87,9970</v>
      </c>
      <c r="M39" s="38" t="s">
        <v>290</v>
      </c>
    </row>
    <row r="40" spans="1:13" ht="12.75">
      <c r="A40" s="38" t="s">
        <v>291</v>
      </c>
      <c r="B40" s="38" t="s">
        <v>292</v>
      </c>
      <c r="C40" s="38" t="s">
        <v>293</v>
      </c>
      <c r="D40" s="38" t="str">
        <f>"0,6816"</f>
        <v>0,6816</v>
      </c>
      <c r="E40" s="38" t="s">
        <v>22</v>
      </c>
      <c r="F40" s="38" t="s">
        <v>23</v>
      </c>
      <c r="G40" s="39" t="s">
        <v>149</v>
      </c>
      <c r="H40" s="40" t="s">
        <v>84</v>
      </c>
      <c r="I40" s="39" t="s">
        <v>135</v>
      </c>
      <c r="J40" s="39"/>
      <c r="K40" s="38" t="str">
        <f>"80,0"</f>
        <v>80,0</v>
      </c>
      <c r="L40" s="40" t="str">
        <f>"54,5280"</f>
        <v>54,5280</v>
      </c>
      <c r="M40" s="38" t="s">
        <v>31</v>
      </c>
    </row>
    <row r="41" spans="1:13" ht="12.75">
      <c r="A41" s="38" t="s">
        <v>294</v>
      </c>
      <c r="B41" s="38" t="s">
        <v>295</v>
      </c>
      <c r="C41" s="38" t="s">
        <v>296</v>
      </c>
      <c r="D41" s="38" t="str">
        <f>"0,6854"</f>
        <v>0,6854</v>
      </c>
      <c r="E41" s="38" t="s">
        <v>22</v>
      </c>
      <c r="F41" s="38" t="s">
        <v>23</v>
      </c>
      <c r="G41" s="39" t="s">
        <v>193</v>
      </c>
      <c r="H41" s="39" t="s">
        <v>193</v>
      </c>
      <c r="I41" s="39" t="s">
        <v>193</v>
      </c>
      <c r="J41" s="39"/>
      <c r="K41" s="38" t="str">
        <f>"0,0"</f>
        <v>0,0</v>
      </c>
      <c r="L41" s="40" t="str">
        <f>"0,0000"</f>
        <v>0,0000</v>
      </c>
      <c r="M41" s="38" t="s">
        <v>31</v>
      </c>
    </row>
    <row r="42" spans="1:13" ht="12.75">
      <c r="A42" s="38" t="s">
        <v>297</v>
      </c>
      <c r="B42" s="38" t="s">
        <v>298</v>
      </c>
      <c r="C42" s="38" t="s">
        <v>299</v>
      </c>
      <c r="D42" s="38" t="str">
        <f>"0,6704"</f>
        <v>0,6704</v>
      </c>
      <c r="E42" s="38" t="s">
        <v>76</v>
      </c>
      <c r="F42" s="38" t="s">
        <v>207</v>
      </c>
      <c r="G42" s="40" t="s">
        <v>26</v>
      </c>
      <c r="H42" s="40" t="s">
        <v>91</v>
      </c>
      <c r="I42" s="40" t="s">
        <v>27</v>
      </c>
      <c r="J42" s="39"/>
      <c r="K42" s="38" t="str">
        <f>"135,0"</f>
        <v>135,0</v>
      </c>
      <c r="L42" s="40" t="str">
        <f>"96,6583"</f>
        <v>96,6583</v>
      </c>
      <c r="M42" s="38" t="s">
        <v>278</v>
      </c>
    </row>
    <row r="43" spans="1:13" ht="12.75">
      <c r="A43" s="25" t="s">
        <v>300</v>
      </c>
      <c r="B43" s="25" t="s">
        <v>301</v>
      </c>
      <c r="C43" s="25" t="s">
        <v>302</v>
      </c>
      <c r="D43" s="25" t="str">
        <f>"0,6806"</f>
        <v>0,6806</v>
      </c>
      <c r="E43" s="25" t="s">
        <v>76</v>
      </c>
      <c r="F43" s="25" t="s">
        <v>77</v>
      </c>
      <c r="G43" s="26" t="s">
        <v>193</v>
      </c>
      <c r="H43" s="31" t="s">
        <v>193</v>
      </c>
      <c r="I43" s="26" t="s">
        <v>91</v>
      </c>
      <c r="J43" s="26"/>
      <c r="K43" s="25" t="str">
        <f>"115,0"</f>
        <v>115,0</v>
      </c>
      <c r="L43" s="31" t="str">
        <f>"99,2451"</f>
        <v>99,2451</v>
      </c>
      <c r="M43" s="25" t="s">
        <v>92</v>
      </c>
    </row>
    <row r="45" spans="1:12" ht="15">
      <c r="A45" s="27" t="s">
        <v>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3" ht="12.75">
      <c r="A46" s="22" t="s">
        <v>303</v>
      </c>
      <c r="B46" s="22" t="s">
        <v>304</v>
      </c>
      <c r="C46" s="22" t="s">
        <v>305</v>
      </c>
      <c r="D46" s="22" t="str">
        <f>"0,6428"</f>
        <v>0,6428</v>
      </c>
      <c r="E46" s="22" t="s">
        <v>76</v>
      </c>
      <c r="F46" s="22" t="s">
        <v>77</v>
      </c>
      <c r="G46" s="23" t="s">
        <v>141</v>
      </c>
      <c r="H46" s="24" t="s">
        <v>26</v>
      </c>
      <c r="I46" s="23" t="s">
        <v>27</v>
      </c>
      <c r="J46" s="23"/>
      <c r="K46" s="22" t="str">
        <f>"125,0"</f>
        <v>125,0</v>
      </c>
      <c r="L46" s="24" t="str">
        <f>"80,3500"</f>
        <v>80,3500</v>
      </c>
      <c r="M46" s="22" t="s">
        <v>31</v>
      </c>
    </row>
    <row r="47" spans="1:13" ht="12.75">
      <c r="A47" s="25" t="s">
        <v>306</v>
      </c>
      <c r="B47" s="25" t="s">
        <v>307</v>
      </c>
      <c r="C47" s="25" t="s">
        <v>308</v>
      </c>
      <c r="D47" s="25" t="str">
        <f>"0,6447"</f>
        <v>0,6447</v>
      </c>
      <c r="E47" s="25" t="s">
        <v>76</v>
      </c>
      <c r="F47" s="25" t="s">
        <v>309</v>
      </c>
      <c r="G47" s="31" t="s">
        <v>99</v>
      </c>
      <c r="H47" s="31" t="s">
        <v>46</v>
      </c>
      <c r="I47" s="26" t="s">
        <v>111</v>
      </c>
      <c r="J47" s="26"/>
      <c r="K47" s="25" t="str">
        <f>"155,0"</f>
        <v>155,0</v>
      </c>
      <c r="L47" s="31" t="str">
        <f>"108,1226"</f>
        <v>108,1226</v>
      </c>
      <c r="M47" s="25" t="s">
        <v>92</v>
      </c>
    </row>
    <row r="49" spans="1:12" ht="15">
      <c r="A49" s="27" t="s">
        <v>40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3" ht="12.75">
      <c r="A50" s="22" t="s">
        <v>310</v>
      </c>
      <c r="B50" s="22" t="s">
        <v>311</v>
      </c>
      <c r="C50" s="22" t="s">
        <v>312</v>
      </c>
      <c r="D50" s="22" t="str">
        <f>"0,6220"</f>
        <v>0,6220</v>
      </c>
      <c r="E50" s="22" t="s">
        <v>76</v>
      </c>
      <c r="F50" s="22" t="s">
        <v>77</v>
      </c>
      <c r="G50" s="23" t="s">
        <v>107</v>
      </c>
      <c r="H50" s="24" t="s">
        <v>313</v>
      </c>
      <c r="I50" s="23" t="s">
        <v>314</v>
      </c>
      <c r="J50" s="23"/>
      <c r="K50" s="22" t="str">
        <f>"107,5"</f>
        <v>107,5</v>
      </c>
      <c r="L50" s="24" t="str">
        <f>"66,8650"</f>
        <v>66,8650</v>
      </c>
      <c r="M50" s="22" t="s">
        <v>254</v>
      </c>
    </row>
    <row r="51" spans="1:13" ht="12.75">
      <c r="A51" s="25" t="s">
        <v>315</v>
      </c>
      <c r="B51" s="25" t="s">
        <v>316</v>
      </c>
      <c r="C51" s="25" t="s">
        <v>317</v>
      </c>
      <c r="D51" s="25" t="str">
        <f>"0,6272"</f>
        <v>0,6272</v>
      </c>
      <c r="E51" s="25" t="s">
        <v>22</v>
      </c>
      <c r="F51" s="25" t="s">
        <v>23</v>
      </c>
      <c r="G51" s="26" t="s">
        <v>135</v>
      </c>
      <c r="H51" s="26" t="s">
        <v>193</v>
      </c>
      <c r="I51" s="26" t="s">
        <v>193</v>
      </c>
      <c r="J51" s="26"/>
      <c r="K51" s="25" t="str">
        <f>"0,0"</f>
        <v>0,0</v>
      </c>
      <c r="L51" s="31" t="str">
        <f>"0,0000"</f>
        <v>0,0000</v>
      </c>
      <c r="M51" s="25" t="s">
        <v>31</v>
      </c>
    </row>
    <row r="53" spans="1:12" ht="15">
      <c r="A53" s="27" t="s">
        <v>119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3" ht="12.75">
      <c r="A54" s="28" t="s">
        <v>318</v>
      </c>
      <c r="B54" s="28" t="s">
        <v>319</v>
      </c>
      <c r="C54" s="28" t="s">
        <v>320</v>
      </c>
      <c r="D54" s="28" t="str">
        <f>"0,5943"</f>
        <v>0,5943</v>
      </c>
      <c r="E54" s="28" t="s">
        <v>76</v>
      </c>
      <c r="F54" s="28" t="s">
        <v>207</v>
      </c>
      <c r="G54" s="29" t="s">
        <v>111</v>
      </c>
      <c r="H54" s="30" t="s">
        <v>169</v>
      </c>
      <c r="I54" s="30" t="s">
        <v>47</v>
      </c>
      <c r="J54" s="30"/>
      <c r="K54" s="28" t="str">
        <f>"160,0"</f>
        <v>160,0</v>
      </c>
      <c r="L54" s="29" t="str">
        <f>"96,9898"</f>
        <v>96,9898</v>
      </c>
      <c r="M54" s="28" t="s">
        <v>273</v>
      </c>
    </row>
    <row r="56" spans="1:12" ht="15">
      <c r="A56" s="27" t="s">
        <v>50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3" ht="12.75">
      <c r="A57" s="22" t="s">
        <v>322</v>
      </c>
      <c r="B57" s="22" t="s">
        <v>323</v>
      </c>
      <c r="C57" s="22" t="s">
        <v>130</v>
      </c>
      <c r="D57" s="22" t="str">
        <f>"0,5870"</f>
        <v>0,5870</v>
      </c>
      <c r="E57" s="22" t="s">
        <v>76</v>
      </c>
      <c r="F57" s="22" t="s">
        <v>131</v>
      </c>
      <c r="G57" s="23" t="s">
        <v>118</v>
      </c>
      <c r="H57" s="24" t="s">
        <v>118</v>
      </c>
      <c r="I57" s="23" t="s">
        <v>47</v>
      </c>
      <c r="J57" s="23"/>
      <c r="K57" s="22" t="str">
        <f>"162,5"</f>
        <v>162,5</v>
      </c>
      <c r="L57" s="24" t="str">
        <f>"95,3875"</f>
        <v>95,3875</v>
      </c>
      <c r="M57" s="22" t="s">
        <v>31</v>
      </c>
    </row>
    <row r="58" spans="1:13" ht="12.75">
      <c r="A58" s="25" t="s">
        <v>321</v>
      </c>
      <c r="B58" s="25" t="s">
        <v>129</v>
      </c>
      <c r="C58" s="25" t="s">
        <v>130</v>
      </c>
      <c r="D58" s="25" t="str">
        <f>"0,5870"</f>
        <v>0,5870</v>
      </c>
      <c r="E58" s="25" t="s">
        <v>76</v>
      </c>
      <c r="F58" s="25" t="s">
        <v>131</v>
      </c>
      <c r="G58" s="26" t="s">
        <v>118</v>
      </c>
      <c r="H58" s="31" t="s">
        <v>118</v>
      </c>
      <c r="I58" s="26" t="s">
        <v>47</v>
      </c>
      <c r="J58" s="26"/>
      <c r="K58" s="25" t="str">
        <f>"162,5"</f>
        <v>162,5</v>
      </c>
      <c r="L58" s="31" t="str">
        <f>"95,3875"</f>
        <v>95,3875</v>
      </c>
      <c r="M58" s="25" t="s">
        <v>31</v>
      </c>
    </row>
    <row r="60" spans="1:12" ht="15">
      <c r="A60" s="27" t="s">
        <v>324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3" ht="12.75">
      <c r="A61" s="28" t="s">
        <v>325</v>
      </c>
      <c r="B61" s="28" t="s">
        <v>326</v>
      </c>
      <c r="C61" s="28" t="s">
        <v>327</v>
      </c>
      <c r="D61" s="28" t="str">
        <f>"0,5691"</f>
        <v>0,5691</v>
      </c>
      <c r="E61" s="28" t="s">
        <v>22</v>
      </c>
      <c r="F61" s="28" t="s">
        <v>23</v>
      </c>
      <c r="G61" s="29" t="s">
        <v>98</v>
      </c>
      <c r="H61" s="29" t="s">
        <v>99</v>
      </c>
      <c r="I61" s="29" t="s">
        <v>37</v>
      </c>
      <c r="J61" s="30"/>
      <c r="K61" s="28" t="str">
        <f>"150,0"</f>
        <v>150,0</v>
      </c>
      <c r="L61" s="29" t="str">
        <f>"85,3650"</f>
        <v>85,3650</v>
      </c>
      <c r="M61" s="28" t="s">
        <v>92</v>
      </c>
    </row>
    <row r="63" ht="15">
      <c r="E63" s="19" t="s">
        <v>12</v>
      </c>
    </row>
    <row r="64" ht="15">
      <c r="E64" s="19" t="s">
        <v>13</v>
      </c>
    </row>
    <row r="65" ht="15">
      <c r="E65" s="19" t="s">
        <v>14</v>
      </c>
    </row>
    <row r="66" ht="15">
      <c r="E66" s="19" t="s">
        <v>15</v>
      </c>
    </row>
    <row r="67" ht="15">
      <c r="E67" s="19"/>
    </row>
    <row r="69" spans="1:2" ht="18">
      <c r="A69" s="20" t="s">
        <v>16</v>
      </c>
      <c r="B69" s="20"/>
    </row>
    <row r="70" spans="1:2" ht="15">
      <c r="A70" s="32" t="s">
        <v>142</v>
      </c>
      <c r="B70" s="32"/>
    </row>
    <row r="71" spans="1:2" ht="14.25">
      <c r="A71" s="34"/>
      <c r="B71" s="35" t="s">
        <v>71</v>
      </c>
    </row>
    <row r="72" spans="1:5" ht="15">
      <c r="A72" s="36" t="s">
        <v>65</v>
      </c>
      <c r="B72" s="36" t="s">
        <v>66</v>
      </c>
      <c r="C72" s="36" t="s">
        <v>67</v>
      </c>
      <c r="D72" s="36" t="s">
        <v>68</v>
      </c>
      <c r="E72" s="36" t="s">
        <v>69</v>
      </c>
    </row>
    <row r="73" spans="1:5" ht="12.75">
      <c r="A73" s="33" t="s">
        <v>239</v>
      </c>
      <c r="B73" s="5" t="s">
        <v>71</v>
      </c>
      <c r="C73" s="5" t="s">
        <v>144</v>
      </c>
      <c r="D73" s="5" t="s">
        <v>133</v>
      </c>
      <c r="E73" s="37" t="s">
        <v>328</v>
      </c>
    </row>
    <row r="75" spans="1:2" ht="15">
      <c r="A75" s="32" t="s">
        <v>64</v>
      </c>
      <c r="B75" s="32"/>
    </row>
    <row r="76" spans="1:2" ht="14.25">
      <c r="A76" s="34"/>
      <c r="B76" s="35" t="s">
        <v>71</v>
      </c>
    </row>
    <row r="77" spans="1:5" ht="15">
      <c r="A77" s="36" t="s">
        <v>65</v>
      </c>
      <c r="B77" s="36" t="s">
        <v>66</v>
      </c>
      <c r="C77" s="36" t="s">
        <v>67</v>
      </c>
      <c r="D77" s="36" t="s">
        <v>68</v>
      </c>
      <c r="E77" s="36" t="s">
        <v>69</v>
      </c>
    </row>
    <row r="78" spans="1:5" ht="12.75">
      <c r="A78" s="33" t="s">
        <v>274</v>
      </c>
      <c r="B78" s="5" t="s">
        <v>71</v>
      </c>
      <c r="C78" s="5" t="s">
        <v>133</v>
      </c>
      <c r="D78" s="5" t="s">
        <v>272</v>
      </c>
      <c r="E78" s="37" t="s">
        <v>330</v>
      </c>
    </row>
    <row r="79" spans="1:5" ht="12.75">
      <c r="A79" s="33" t="s">
        <v>279</v>
      </c>
      <c r="B79" s="5" t="s">
        <v>71</v>
      </c>
      <c r="C79" s="5" t="s">
        <v>133</v>
      </c>
      <c r="D79" s="5" t="s">
        <v>272</v>
      </c>
      <c r="E79" s="37" t="s">
        <v>331</v>
      </c>
    </row>
    <row r="80" spans="1:5" ht="12.75">
      <c r="A80" s="33" t="s">
        <v>268</v>
      </c>
      <c r="B80" s="5" t="s">
        <v>71</v>
      </c>
      <c r="C80" s="5" t="s">
        <v>133</v>
      </c>
      <c r="D80" s="5" t="s">
        <v>98</v>
      </c>
      <c r="E80" s="37" t="s">
        <v>332</v>
      </c>
    </row>
  </sheetData>
  <sheetProtection/>
  <mergeCells count="25">
    <mergeCell ref="A45:L45"/>
    <mergeCell ref="A49:L49"/>
    <mergeCell ref="A53:L53"/>
    <mergeCell ref="A56:L56"/>
    <mergeCell ref="A60:L60"/>
    <mergeCell ref="A16:L16"/>
    <mergeCell ref="A19:L19"/>
    <mergeCell ref="A23:L23"/>
    <mergeCell ref="A26:L26"/>
    <mergeCell ref="A32:L32"/>
    <mergeCell ref="A37:L37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8">
      <selection activeCell="C59" sqref="C59"/>
    </sheetView>
  </sheetViews>
  <sheetFormatPr defaultColWidth="9.00390625" defaultRowHeight="12.75"/>
  <cols>
    <col min="1" max="1" width="26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6.125" style="5" bestFit="1" customWidth="1"/>
    <col min="7" max="9" width="5.625" style="4" bestFit="1" customWidth="1"/>
    <col min="10" max="10" width="4.875" style="4" bestFit="1" customWidth="1"/>
    <col min="11" max="11" width="11.125" style="5" customWidth="1"/>
    <col min="12" max="12" width="8.625" style="4" bestFit="1" customWidth="1"/>
    <col min="13" max="13" width="23.375" style="5" bestFit="1" customWidth="1"/>
    <col min="14" max="16384" width="9.125" style="4" customWidth="1"/>
  </cols>
  <sheetData>
    <row r="1" spans="1:13" s="3" customFormat="1" ht="28.5" customHeight="1">
      <c r="A1" s="18" t="s">
        <v>376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3</v>
      </c>
      <c r="H3" s="11"/>
      <c r="I3" s="11"/>
      <c r="J3" s="11"/>
      <c r="K3" s="11" t="s">
        <v>136</v>
      </c>
      <c r="L3" s="11" t="s">
        <v>6</v>
      </c>
      <c r="M3" s="16" t="s">
        <v>5</v>
      </c>
    </row>
    <row r="4" spans="1:13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15"/>
      <c r="L4" s="15"/>
      <c r="M4" s="17"/>
    </row>
    <row r="5" spans="1:12" ht="15">
      <c r="A5" s="21" t="s">
        <v>145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2.75">
      <c r="A6" s="28" t="s">
        <v>224</v>
      </c>
      <c r="B6" s="28" t="s">
        <v>333</v>
      </c>
      <c r="C6" s="28" t="s">
        <v>226</v>
      </c>
      <c r="D6" s="28" t="str">
        <f>"1,2466"</f>
        <v>1,2466</v>
      </c>
      <c r="E6" s="28" t="s">
        <v>22</v>
      </c>
      <c r="F6" s="28" t="s">
        <v>23</v>
      </c>
      <c r="G6" s="29" t="s">
        <v>70</v>
      </c>
      <c r="H6" s="30" t="s">
        <v>39</v>
      </c>
      <c r="I6" s="30" t="s">
        <v>39</v>
      </c>
      <c r="J6" s="30"/>
      <c r="K6" s="28" t="str">
        <f>"90,0"</f>
        <v>90,0</v>
      </c>
      <c r="L6" s="29" t="str">
        <f>"112,1940"</f>
        <v>112,1940</v>
      </c>
      <c r="M6" s="28" t="s">
        <v>228</v>
      </c>
    </row>
    <row r="8" spans="1:12" ht="15">
      <c r="A8" s="27" t="s">
        <v>229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ht="12.75">
      <c r="A9" s="28" t="s">
        <v>334</v>
      </c>
      <c r="B9" s="28" t="s">
        <v>236</v>
      </c>
      <c r="C9" s="28" t="s">
        <v>237</v>
      </c>
      <c r="D9" s="28" t="str">
        <f>"1,2141"</f>
        <v>1,2141</v>
      </c>
      <c r="E9" s="28" t="s">
        <v>76</v>
      </c>
      <c r="F9" s="28" t="s">
        <v>77</v>
      </c>
      <c r="G9" s="29" t="s">
        <v>149</v>
      </c>
      <c r="H9" s="29" t="s">
        <v>84</v>
      </c>
      <c r="I9" s="29" t="s">
        <v>335</v>
      </c>
      <c r="J9" s="30"/>
      <c r="K9" s="28" t="str">
        <f>"92,5"</f>
        <v>92,5</v>
      </c>
      <c r="L9" s="29" t="str">
        <f>"112,3043"</f>
        <v>112,3043</v>
      </c>
      <c r="M9" s="28" t="s">
        <v>238</v>
      </c>
    </row>
    <row r="11" spans="1:12" ht="15">
      <c r="A11" s="27" t="s">
        <v>72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3" ht="12.75">
      <c r="A12" s="28" t="s">
        <v>336</v>
      </c>
      <c r="B12" s="28" t="s">
        <v>246</v>
      </c>
      <c r="C12" s="28" t="s">
        <v>247</v>
      </c>
      <c r="D12" s="28" t="str">
        <f>"0,9530"</f>
        <v>0,9530</v>
      </c>
      <c r="E12" s="28" t="s">
        <v>76</v>
      </c>
      <c r="F12" s="28" t="s">
        <v>77</v>
      </c>
      <c r="G12" s="29" t="s">
        <v>154</v>
      </c>
      <c r="H12" s="29" t="s">
        <v>335</v>
      </c>
      <c r="I12" s="29" t="s">
        <v>337</v>
      </c>
      <c r="J12" s="30"/>
      <c r="K12" s="28" t="str">
        <f>"97,5"</f>
        <v>97,5</v>
      </c>
      <c r="L12" s="29" t="str">
        <f>"92,9175"</f>
        <v>92,9175</v>
      </c>
      <c r="M12" s="28" t="s">
        <v>249</v>
      </c>
    </row>
    <row r="14" spans="1:12" ht="15">
      <c r="A14" s="27" t="s">
        <v>79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3" ht="12.75">
      <c r="A15" s="22" t="s">
        <v>258</v>
      </c>
      <c r="B15" s="22" t="s">
        <v>259</v>
      </c>
      <c r="C15" s="22" t="s">
        <v>82</v>
      </c>
      <c r="D15" s="22" t="str">
        <f>"0,8004"</f>
        <v>0,8004</v>
      </c>
      <c r="E15" s="22" t="s">
        <v>76</v>
      </c>
      <c r="F15" s="22" t="s">
        <v>77</v>
      </c>
      <c r="G15" s="24" t="s">
        <v>337</v>
      </c>
      <c r="H15" s="24" t="s">
        <v>107</v>
      </c>
      <c r="I15" s="24" t="s">
        <v>314</v>
      </c>
      <c r="J15" s="23"/>
      <c r="K15" s="22" t="str">
        <f>"112,5"</f>
        <v>112,5</v>
      </c>
      <c r="L15" s="24" t="str">
        <f>"90,0450"</f>
        <v>90,0450</v>
      </c>
      <c r="M15" s="22" t="s">
        <v>260</v>
      </c>
    </row>
    <row r="16" spans="1:13" ht="12.75">
      <c r="A16" s="25" t="s">
        <v>190</v>
      </c>
      <c r="B16" s="25" t="s">
        <v>191</v>
      </c>
      <c r="C16" s="25" t="s">
        <v>192</v>
      </c>
      <c r="D16" s="25" t="str">
        <f>"0,7952"</f>
        <v>0,7952</v>
      </c>
      <c r="E16" s="25" t="s">
        <v>22</v>
      </c>
      <c r="F16" s="25" t="s">
        <v>23</v>
      </c>
      <c r="G16" s="31" t="s">
        <v>135</v>
      </c>
      <c r="H16" s="31" t="s">
        <v>141</v>
      </c>
      <c r="I16" s="31" t="s">
        <v>227</v>
      </c>
      <c r="J16" s="26"/>
      <c r="K16" s="25" t="str">
        <f>"120,0"</f>
        <v>120,0</v>
      </c>
      <c r="L16" s="31" t="str">
        <f>"111,1690"</f>
        <v>111,1690</v>
      </c>
      <c r="M16" s="25" t="s">
        <v>194</v>
      </c>
    </row>
    <row r="18" spans="1:12" ht="15">
      <c r="A18" s="27" t="s">
        <v>72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3" ht="12.75">
      <c r="A19" s="22" t="s">
        <v>339</v>
      </c>
      <c r="B19" s="22" t="s">
        <v>340</v>
      </c>
      <c r="C19" s="22" t="s">
        <v>341</v>
      </c>
      <c r="D19" s="22" t="str">
        <f>"0,7352"</f>
        <v>0,7352</v>
      </c>
      <c r="E19" s="22" t="s">
        <v>22</v>
      </c>
      <c r="F19" s="22" t="s">
        <v>23</v>
      </c>
      <c r="G19" s="24" t="s">
        <v>24</v>
      </c>
      <c r="H19" s="24" t="s">
        <v>25</v>
      </c>
      <c r="I19" s="23" t="s">
        <v>342</v>
      </c>
      <c r="J19" s="23"/>
      <c r="K19" s="22" t="str">
        <f>"210,0"</f>
        <v>210,0</v>
      </c>
      <c r="L19" s="24" t="str">
        <f>"154,3920"</f>
        <v>154,3920</v>
      </c>
      <c r="M19" s="22" t="s">
        <v>92</v>
      </c>
    </row>
    <row r="20" spans="1:13" ht="12.75">
      <c r="A20" s="38" t="s">
        <v>343</v>
      </c>
      <c r="B20" s="38" t="s">
        <v>344</v>
      </c>
      <c r="C20" s="38" t="s">
        <v>345</v>
      </c>
      <c r="D20" s="38" t="str">
        <f>"0,7193"</f>
        <v>0,7193</v>
      </c>
      <c r="E20" s="38" t="s">
        <v>76</v>
      </c>
      <c r="F20" s="38" t="s">
        <v>346</v>
      </c>
      <c r="G20" s="40" t="s">
        <v>28</v>
      </c>
      <c r="H20" s="39" t="s">
        <v>25</v>
      </c>
      <c r="I20" s="40" t="s">
        <v>25</v>
      </c>
      <c r="J20" s="39"/>
      <c r="K20" s="38" t="str">
        <f>"210,0"</f>
        <v>210,0</v>
      </c>
      <c r="L20" s="40" t="str">
        <f>"151,0530"</f>
        <v>151,0530</v>
      </c>
      <c r="M20" s="38" t="s">
        <v>92</v>
      </c>
    </row>
    <row r="21" spans="1:13" ht="12.75">
      <c r="A21" s="25" t="s">
        <v>347</v>
      </c>
      <c r="B21" s="25" t="s">
        <v>348</v>
      </c>
      <c r="C21" s="25" t="s">
        <v>349</v>
      </c>
      <c r="D21" s="25" t="str">
        <f>"0,7271"</f>
        <v>0,7271</v>
      </c>
      <c r="E21" s="25" t="s">
        <v>76</v>
      </c>
      <c r="F21" s="25" t="s">
        <v>97</v>
      </c>
      <c r="G21" s="26" t="s">
        <v>111</v>
      </c>
      <c r="H21" s="31" t="s">
        <v>111</v>
      </c>
      <c r="I21" s="26" t="s">
        <v>47</v>
      </c>
      <c r="J21" s="26"/>
      <c r="K21" s="25" t="str">
        <f>"160,0"</f>
        <v>160,0</v>
      </c>
      <c r="L21" s="31" t="str">
        <f>"119,9424"</f>
        <v>119,9424</v>
      </c>
      <c r="M21" s="25" t="s">
        <v>350</v>
      </c>
    </row>
    <row r="23" spans="1:12" ht="15">
      <c r="A23" s="27" t="s">
        <v>93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3" ht="12.75">
      <c r="A24" s="22" t="s">
        <v>351</v>
      </c>
      <c r="B24" s="22" t="s">
        <v>311</v>
      </c>
      <c r="C24" s="22" t="s">
        <v>352</v>
      </c>
      <c r="D24" s="22" t="str">
        <f>"0,6724"</f>
        <v>0,6724</v>
      </c>
      <c r="E24" s="22" t="s">
        <v>76</v>
      </c>
      <c r="F24" s="22" t="s">
        <v>77</v>
      </c>
      <c r="G24" s="24" t="s">
        <v>28</v>
      </c>
      <c r="H24" s="23" t="s">
        <v>24</v>
      </c>
      <c r="I24" s="23" t="s">
        <v>104</v>
      </c>
      <c r="J24" s="23"/>
      <c r="K24" s="22" t="str">
        <f>"190,0"</f>
        <v>190,0</v>
      </c>
      <c r="L24" s="24" t="str">
        <f>"127,7560"</f>
        <v>127,7560</v>
      </c>
      <c r="M24" s="22" t="s">
        <v>254</v>
      </c>
    </row>
    <row r="25" spans="1:13" ht="12.75">
      <c r="A25" s="38" t="s">
        <v>353</v>
      </c>
      <c r="B25" s="38" t="s">
        <v>354</v>
      </c>
      <c r="C25" s="38" t="s">
        <v>355</v>
      </c>
      <c r="D25" s="38" t="str">
        <f>"0,6838"</f>
        <v>0,6838</v>
      </c>
      <c r="E25" s="38" t="s">
        <v>76</v>
      </c>
      <c r="F25" s="38" t="s">
        <v>356</v>
      </c>
      <c r="G25" s="39" t="s">
        <v>357</v>
      </c>
      <c r="H25" s="40" t="s">
        <v>357</v>
      </c>
      <c r="I25" s="40" t="s">
        <v>200</v>
      </c>
      <c r="J25" s="39"/>
      <c r="K25" s="38" t="str">
        <f>"185,0"</f>
        <v>185,0</v>
      </c>
      <c r="L25" s="40" t="str">
        <f>"126,5030"</f>
        <v>126,5030</v>
      </c>
      <c r="M25" s="38" t="s">
        <v>92</v>
      </c>
    </row>
    <row r="26" spans="1:13" ht="12.75">
      <c r="A26" s="38" t="s">
        <v>358</v>
      </c>
      <c r="B26" s="38" t="s">
        <v>241</v>
      </c>
      <c r="C26" s="38" t="s">
        <v>289</v>
      </c>
      <c r="D26" s="38" t="str">
        <f>"0,6769"</f>
        <v>0,6769</v>
      </c>
      <c r="E26" s="38" t="s">
        <v>76</v>
      </c>
      <c r="F26" s="38" t="s">
        <v>77</v>
      </c>
      <c r="G26" s="40" t="s">
        <v>111</v>
      </c>
      <c r="H26" s="40" t="s">
        <v>48</v>
      </c>
      <c r="I26" s="39" t="s">
        <v>359</v>
      </c>
      <c r="J26" s="39"/>
      <c r="K26" s="38" t="str">
        <f>"180,0"</f>
        <v>180,0</v>
      </c>
      <c r="L26" s="40" t="str">
        <f>"121,8420"</f>
        <v>121,8420</v>
      </c>
      <c r="M26" s="38" t="s">
        <v>290</v>
      </c>
    </row>
    <row r="27" spans="1:13" ht="12.75">
      <c r="A27" s="25" t="s">
        <v>360</v>
      </c>
      <c r="B27" s="25" t="s">
        <v>361</v>
      </c>
      <c r="C27" s="25" t="s">
        <v>362</v>
      </c>
      <c r="D27" s="25" t="str">
        <f>"0,6882"</f>
        <v>0,6882</v>
      </c>
      <c r="E27" s="25" t="s">
        <v>76</v>
      </c>
      <c r="F27" s="25" t="s">
        <v>363</v>
      </c>
      <c r="G27" s="31" t="s">
        <v>24</v>
      </c>
      <c r="H27" s="31" t="s">
        <v>25</v>
      </c>
      <c r="I27" s="31" t="s">
        <v>227</v>
      </c>
      <c r="J27" s="26"/>
      <c r="K27" s="25" t="str">
        <f>"210,0"</f>
        <v>210,0</v>
      </c>
      <c r="L27" s="31" t="str">
        <f>"193,6595"</f>
        <v>193,6595</v>
      </c>
      <c r="M27" s="25" t="s">
        <v>364</v>
      </c>
    </row>
    <row r="29" spans="1:12" ht="15">
      <c r="A29" s="27" t="s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3" ht="12.75">
      <c r="A30" s="28" t="s">
        <v>365</v>
      </c>
      <c r="B30" s="28" t="s">
        <v>304</v>
      </c>
      <c r="C30" s="28" t="s">
        <v>305</v>
      </c>
      <c r="D30" s="28" t="str">
        <f>"0,6428"</f>
        <v>0,6428</v>
      </c>
      <c r="E30" s="28" t="s">
        <v>76</v>
      </c>
      <c r="F30" s="28" t="s">
        <v>77</v>
      </c>
      <c r="G30" s="29" t="s">
        <v>359</v>
      </c>
      <c r="H30" s="29" t="s">
        <v>29</v>
      </c>
      <c r="I30" s="29" t="s">
        <v>104</v>
      </c>
      <c r="J30" s="30"/>
      <c r="K30" s="28" t="str">
        <f>"215,0"</f>
        <v>215,0</v>
      </c>
      <c r="L30" s="29" t="str">
        <f>"138,2020"</f>
        <v>138,2020</v>
      </c>
      <c r="M30" s="28" t="s">
        <v>31</v>
      </c>
    </row>
    <row r="32" spans="1:12" ht="15">
      <c r="A32" s="27" t="s">
        <v>40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3" ht="12.75">
      <c r="A33" s="28" t="s">
        <v>366</v>
      </c>
      <c r="B33" s="28" t="s">
        <v>367</v>
      </c>
      <c r="C33" s="28" t="s">
        <v>368</v>
      </c>
      <c r="D33" s="28" t="str">
        <f>"0,6101"</f>
        <v>0,6101</v>
      </c>
      <c r="E33" s="28" t="s">
        <v>22</v>
      </c>
      <c r="F33" s="28" t="s">
        <v>23</v>
      </c>
      <c r="G33" s="29" t="s">
        <v>104</v>
      </c>
      <c r="H33" s="29" t="s">
        <v>159</v>
      </c>
      <c r="I33" s="30" t="s">
        <v>44</v>
      </c>
      <c r="J33" s="30"/>
      <c r="K33" s="28" t="str">
        <f>"225,0"</f>
        <v>225,0</v>
      </c>
      <c r="L33" s="29" t="str">
        <f>"137,2725"</f>
        <v>137,2725</v>
      </c>
      <c r="M33" s="41" t="s">
        <v>377</v>
      </c>
    </row>
    <row r="35" ht="15">
      <c r="E35" s="19" t="s">
        <v>12</v>
      </c>
    </row>
    <row r="36" ht="15">
      <c r="E36" s="19" t="s">
        <v>13</v>
      </c>
    </row>
    <row r="37" ht="15">
      <c r="E37" s="19" t="s">
        <v>14</v>
      </c>
    </row>
    <row r="38" ht="15">
      <c r="E38" s="19" t="s">
        <v>15</v>
      </c>
    </row>
    <row r="39" ht="15">
      <c r="E39" s="19"/>
    </row>
    <row r="41" spans="1:2" ht="18">
      <c r="A41" s="20" t="s">
        <v>16</v>
      </c>
      <c r="B41" s="20"/>
    </row>
    <row r="42" spans="1:2" ht="15">
      <c r="A42" s="32" t="s">
        <v>64</v>
      </c>
      <c r="B42" s="32"/>
    </row>
    <row r="43" spans="1:2" ht="14.25">
      <c r="A43" s="34"/>
      <c r="B43" s="35" t="s">
        <v>71</v>
      </c>
    </row>
    <row r="44" spans="1:5" ht="15">
      <c r="A44" s="36" t="s">
        <v>65</v>
      </c>
      <c r="B44" s="36" t="s">
        <v>66</v>
      </c>
      <c r="C44" s="36" t="s">
        <v>67</v>
      </c>
      <c r="D44" s="36" t="s">
        <v>68</v>
      </c>
      <c r="E44" s="36" t="s">
        <v>69</v>
      </c>
    </row>
    <row r="45" spans="1:5" ht="12.75">
      <c r="A45" s="33" t="s">
        <v>338</v>
      </c>
      <c r="B45" s="5" t="s">
        <v>71</v>
      </c>
      <c r="C45" s="5" t="s">
        <v>133</v>
      </c>
      <c r="D45" s="5" t="s">
        <v>25</v>
      </c>
      <c r="E45" s="37" t="s">
        <v>369</v>
      </c>
    </row>
  </sheetData>
  <sheetProtection/>
  <mergeCells count="19">
    <mergeCell ref="A14:L14"/>
    <mergeCell ref="A18:L18"/>
    <mergeCell ref="A23:L23"/>
    <mergeCell ref="A29:L29"/>
    <mergeCell ref="A32:L32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6.87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16.75390625" style="5" bestFit="1" customWidth="1"/>
    <col min="7" max="9" width="5.625" style="4" bestFit="1" customWidth="1"/>
    <col min="10" max="10" width="4.875" style="4" bestFit="1" customWidth="1"/>
    <col min="11" max="11" width="10.875" style="5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18" t="s">
        <v>378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3</v>
      </c>
      <c r="H3" s="11"/>
      <c r="I3" s="11"/>
      <c r="J3" s="11"/>
      <c r="K3" s="11" t="s">
        <v>136</v>
      </c>
      <c r="L3" s="11" t="s">
        <v>6</v>
      </c>
      <c r="M3" s="16" t="s">
        <v>5</v>
      </c>
    </row>
    <row r="4" spans="1:13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15"/>
      <c r="L4" s="15"/>
      <c r="M4" s="17"/>
    </row>
    <row r="5" spans="1:12" ht="15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2.75">
      <c r="A6" s="28" t="s">
        <v>370</v>
      </c>
      <c r="B6" s="28" t="s">
        <v>371</v>
      </c>
      <c r="C6" s="28" t="s">
        <v>305</v>
      </c>
      <c r="D6" s="28" t="str">
        <f>"0,6428"</f>
        <v>0,6428</v>
      </c>
      <c r="E6" s="28" t="s">
        <v>22</v>
      </c>
      <c r="F6" s="28" t="s">
        <v>22</v>
      </c>
      <c r="G6" s="29" t="s">
        <v>45</v>
      </c>
      <c r="H6" s="29" t="s">
        <v>176</v>
      </c>
      <c r="I6" s="29" t="s">
        <v>202</v>
      </c>
      <c r="J6" s="30"/>
      <c r="K6" s="28" t="str">
        <f>"265,0"</f>
        <v>265,0</v>
      </c>
      <c r="L6" s="29" t="str">
        <f>"170,3420"</f>
        <v>170,3420</v>
      </c>
      <c r="M6" s="28" t="s">
        <v>92</v>
      </c>
    </row>
    <row r="8" ht="15">
      <c r="E8" s="19" t="s">
        <v>12</v>
      </c>
    </row>
    <row r="9" ht="15">
      <c r="E9" s="19" t="s">
        <v>13</v>
      </c>
    </row>
    <row r="10" ht="15">
      <c r="E10" s="19" t="s">
        <v>14</v>
      </c>
    </row>
    <row r="11" ht="15">
      <c r="E11" s="19" t="s">
        <v>15</v>
      </c>
    </row>
    <row r="12" ht="15">
      <c r="E12" s="19"/>
    </row>
    <row r="14" spans="1:2" ht="18">
      <c r="A14" s="20" t="s">
        <v>16</v>
      </c>
      <c r="B14" s="20"/>
    </row>
    <row r="15" spans="1:2" ht="15">
      <c r="A15" s="32" t="s">
        <v>64</v>
      </c>
      <c r="B15" s="32"/>
    </row>
    <row r="16" spans="1:2" ht="14.25">
      <c r="A16" s="34"/>
      <c r="B16" s="35" t="s">
        <v>71</v>
      </c>
    </row>
    <row r="17" spans="1:5" ht="15">
      <c r="A17" s="36" t="s">
        <v>65</v>
      </c>
      <c r="B17" s="36" t="s">
        <v>66</v>
      </c>
      <c r="C17" s="36" t="s">
        <v>67</v>
      </c>
      <c r="D17" s="36" t="s">
        <v>68</v>
      </c>
      <c r="E17" s="36" t="s">
        <v>69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25" sqref="A25:IV26"/>
    </sheetView>
  </sheetViews>
  <sheetFormatPr defaultColWidth="9.00390625" defaultRowHeight="12.75"/>
  <cols>
    <col min="1" max="1" width="26.375" style="5" bestFit="1" customWidth="1"/>
    <col min="2" max="2" width="28.3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8.75390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6.25390625" style="5" bestFit="1" customWidth="1"/>
    <col min="22" max="16384" width="9.125" style="4" customWidth="1"/>
  </cols>
  <sheetData>
    <row r="1" spans="1:21" s="3" customFormat="1" ht="28.5" customHeight="1">
      <c r="A1" s="18" t="s">
        <v>379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21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1</v>
      </c>
      <c r="H3" s="11"/>
      <c r="I3" s="11"/>
      <c r="J3" s="11"/>
      <c r="K3" s="11" t="s">
        <v>2</v>
      </c>
      <c r="L3" s="11"/>
      <c r="M3" s="11"/>
      <c r="N3" s="11"/>
      <c r="O3" s="11" t="s">
        <v>3</v>
      </c>
      <c r="P3" s="11"/>
      <c r="Q3" s="11"/>
      <c r="R3" s="11"/>
      <c r="S3" s="11" t="s">
        <v>4</v>
      </c>
      <c r="T3" s="11" t="s">
        <v>6</v>
      </c>
      <c r="U3" s="16" t="s">
        <v>5</v>
      </c>
    </row>
    <row r="4" spans="1:21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15"/>
      <c r="T4" s="15"/>
      <c r="U4" s="17"/>
    </row>
    <row r="5" spans="1:20" ht="15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1" ht="12.75">
      <c r="A6" s="22" t="s">
        <v>19</v>
      </c>
      <c r="B6" s="22" t="s">
        <v>20</v>
      </c>
      <c r="C6" s="22" t="s">
        <v>21</v>
      </c>
      <c r="D6" s="22" t="str">
        <f>"0,6384"</f>
        <v>0,6384</v>
      </c>
      <c r="E6" s="22" t="s">
        <v>22</v>
      </c>
      <c r="F6" s="22" t="s">
        <v>23</v>
      </c>
      <c r="G6" s="23" t="s">
        <v>24</v>
      </c>
      <c r="H6" s="23" t="s">
        <v>25</v>
      </c>
      <c r="I6" s="24" t="s">
        <v>25</v>
      </c>
      <c r="J6" s="23"/>
      <c r="K6" s="23" t="s">
        <v>26</v>
      </c>
      <c r="L6" s="23" t="s">
        <v>27</v>
      </c>
      <c r="M6" s="24" t="s">
        <v>27</v>
      </c>
      <c r="N6" s="23"/>
      <c r="O6" s="24" t="s">
        <v>28</v>
      </c>
      <c r="P6" s="24" t="s">
        <v>29</v>
      </c>
      <c r="Q6" s="23" t="s">
        <v>30</v>
      </c>
      <c r="R6" s="23"/>
      <c r="S6" s="22" t="str">
        <f>"550,0"</f>
        <v>550,0</v>
      </c>
      <c r="T6" s="24" t="str">
        <f>"351,1200"</f>
        <v>351,1200</v>
      </c>
      <c r="U6" s="22" t="s">
        <v>31</v>
      </c>
    </row>
    <row r="7" spans="1:21" ht="12.75">
      <c r="A7" s="25" t="s">
        <v>32</v>
      </c>
      <c r="B7" s="25" t="s">
        <v>33</v>
      </c>
      <c r="C7" s="25" t="s">
        <v>34</v>
      </c>
      <c r="D7" s="25" t="str">
        <f>"0,6519"</f>
        <v>0,6519</v>
      </c>
      <c r="E7" s="25" t="s">
        <v>35</v>
      </c>
      <c r="F7" s="25" t="s">
        <v>36</v>
      </c>
      <c r="G7" s="26" t="s">
        <v>37</v>
      </c>
      <c r="H7" s="26" t="s">
        <v>37</v>
      </c>
      <c r="I7" s="26" t="s">
        <v>37</v>
      </c>
      <c r="J7" s="26"/>
      <c r="K7" s="26" t="s">
        <v>38</v>
      </c>
      <c r="L7" s="26"/>
      <c r="M7" s="26"/>
      <c r="N7" s="26"/>
      <c r="O7" s="26" t="s">
        <v>39</v>
      </c>
      <c r="P7" s="26"/>
      <c r="Q7" s="26"/>
      <c r="R7" s="26"/>
      <c r="S7" s="25" t="str">
        <f>"0,0"</f>
        <v>0,0</v>
      </c>
      <c r="T7" s="31" t="str">
        <f>"0,0000"</f>
        <v>0,0000</v>
      </c>
      <c r="U7" s="25" t="s">
        <v>31</v>
      </c>
    </row>
    <row r="9" spans="1:20" ht="15">
      <c r="A9" s="27" t="s">
        <v>40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1" ht="12.75">
      <c r="A10" s="28" t="s">
        <v>41</v>
      </c>
      <c r="B10" s="28" t="s">
        <v>42</v>
      </c>
      <c r="C10" s="28" t="s">
        <v>43</v>
      </c>
      <c r="D10" s="28" t="str">
        <f>"0,6172"</f>
        <v>0,6172</v>
      </c>
      <c r="E10" s="28" t="s">
        <v>22</v>
      </c>
      <c r="F10" s="28" t="s">
        <v>23</v>
      </c>
      <c r="G10" s="29" t="s">
        <v>25</v>
      </c>
      <c r="H10" s="30" t="s">
        <v>44</v>
      </c>
      <c r="I10" s="29" t="s">
        <v>45</v>
      </c>
      <c r="J10" s="30"/>
      <c r="K10" s="30" t="s">
        <v>46</v>
      </c>
      <c r="L10" s="29" t="s">
        <v>47</v>
      </c>
      <c r="M10" s="30" t="s">
        <v>48</v>
      </c>
      <c r="N10" s="30"/>
      <c r="O10" s="29" t="s">
        <v>44</v>
      </c>
      <c r="P10" s="29" t="s">
        <v>45</v>
      </c>
      <c r="Q10" s="30" t="s">
        <v>49</v>
      </c>
      <c r="R10" s="30"/>
      <c r="S10" s="28" t="str">
        <f>"647,5"</f>
        <v>647,5</v>
      </c>
      <c r="T10" s="29" t="str">
        <f>"399,6370"</f>
        <v>399,6370</v>
      </c>
      <c r="U10" s="28" t="s">
        <v>31</v>
      </c>
    </row>
    <row r="12" spans="1:20" ht="15">
      <c r="A12" s="27" t="s">
        <v>50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1" ht="12.75">
      <c r="A13" s="28" t="s">
        <v>51</v>
      </c>
      <c r="B13" s="28" t="s">
        <v>52</v>
      </c>
      <c r="C13" s="28" t="s">
        <v>53</v>
      </c>
      <c r="D13" s="28" t="str">
        <f>"0,5744"</f>
        <v>0,5744</v>
      </c>
      <c r="E13" s="28" t="s">
        <v>54</v>
      </c>
      <c r="F13" s="28" t="s">
        <v>55</v>
      </c>
      <c r="G13" s="30" t="s">
        <v>56</v>
      </c>
      <c r="H13" s="29" t="s">
        <v>57</v>
      </c>
      <c r="I13" s="29" t="s">
        <v>58</v>
      </c>
      <c r="J13" s="30"/>
      <c r="K13" s="29" t="s">
        <v>59</v>
      </c>
      <c r="L13" s="29" t="s">
        <v>60</v>
      </c>
      <c r="M13" s="29" t="s">
        <v>61</v>
      </c>
      <c r="N13" s="30"/>
      <c r="O13" s="29" t="s">
        <v>62</v>
      </c>
      <c r="P13" s="29" t="s">
        <v>56</v>
      </c>
      <c r="Q13" s="29" t="s">
        <v>58</v>
      </c>
      <c r="R13" s="30"/>
      <c r="S13" s="28" t="str">
        <f>"847,5"</f>
        <v>847,5</v>
      </c>
      <c r="T13" s="29" t="str">
        <f>"486,8040"</f>
        <v>486,8040</v>
      </c>
      <c r="U13" s="28" t="s">
        <v>63</v>
      </c>
    </row>
    <row r="15" ht="15">
      <c r="E15" s="19" t="s">
        <v>12</v>
      </c>
    </row>
    <row r="16" ht="15">
      <c r="E16" s="19" t="s">
        <v>13</v>
      </c>
    </row>
    <row r="17" ht="15">
      <c r="E17" s="19" t="s">
        <v>14</v>
      </c>
    </row>
    <row r="18" ht="15">
      <c r="E18" s="19" t="s">
        <v>15</v>
      </c>
    </row>
    <row r="19" ht="15">
      <c r="E19" s="19"/>
    </row>
    <row r="21" spans="1:2" ht="18">
      <c r="A21" s="20" t="s">
        <v>16</v>
      </c>
      <c r="B21" s="20"/>
    </row>
    <row r="22" spans="1:2" ht="15">
      <c r="A22" s="32" t="s">
        <v>64</v>
      </c>
      <c r="B22" s="32"/>
    </row>
    <row r="23" spans="1:2" ht="14.25">
      <c r="A23" s="34"/>
      <c r="B23" s="35" t="s">
        <v>71</v>
      </c>
    </row>
    <row r="24" spans="1:5" ht="15">
      <c r="A24" s="36" t="s">
        <v>65</v>
      </c>
      <c r="B24" s="36" t="s">
        <v>66</v>
      </c>
      <c r="C24" s="36" t="s">
        <v>67</v>
      </c>
      <c r="D24" s="36" t="s">
        <v>68</v>
      </c>
      <c r="E24" s="36" t="s">
        <v>69</v>
      </c>
    </row>
  </sheetData>
  <sheetProtection/>
  <mergeCells count="16">
    <mergeCell ref="S3:S4"/>
    <mergeCell ref="T3:T4"/>
    <mergeCell ref="U3:U4"/>
    <mergeCell ref="A5:T5"/>
    <mergeCell ref="A9:T9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47" sqref="E47"/>
    </sheetView>
  </sheetViews>
  <sheetFormatPr defaultColWidth="9.00390625" defaultRowHeight="12.75"/>
  <cols>
    <col min="1" max="1" width="28.25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0.25390625" style="5" bestFit="1" customWidth="1"/>
    <col min="7" max="9" width="5.625" style="4" bestFit="1" customWidth="1"/>
    <col min="10" max="10" width="4.875" style="4" bestFit="1" customWidth="1"/>
    <col min="11" max="11" width="10.875" style="5" customWidth="1"/>
    <col min="12" max="12" width="8.625" style="4" bestFit="1" customWidth="1"/>
    <col min="13" max="13" width="22.875" style="5" bestFit="1" customWidth="1"/>
    <col min="14" max="16384" width="9.125" style="4" customWidth="1"/>
  </cols>
  <sheetData>
    <row r="1" spans="1:13" s="3" customFormat="1" ht="28.5" customHeight="1">
      <c r="A1" s="18" t="s">
        <v>380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2</v>
      </c>
      <c r="H3" s="11"/>
      <c r="I3" s="11"/>
      <c r="J3" s="11"/>
      <c r="K3" s="11" t="s">
        <v>136</v>
      </c>
      <c r="L3" s="11" t="s">
        <v>6</v>
      </c>
      <c r="M3" s="16" t="s">
        <v>5</v>
      </c>
    </row>
    <row r="4" spans="1:13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15"/>
      <c r="L4" s="15"/>
      <c r="M4" s="17"/>
    </row>
    <row r="5" spans="1:12" ht="15">
      <c r="A5" s="27" t="s">
        <v>79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12.75">
      <c r="A6" s="28" t="s">
        <v>80</v>
      </c>
      <c r="B6" s="28" t="s">
        <v>81</v>
      </c>
      <c r="C6" s="28" t="s">
        <v>82</v>
      </c>
      <c r="D6" s="28" t="str">
        <f>"0,8004"</f>
        <v>0,8004</v>
      </c>
      <c r="E6" s="28" t="s">
        <v>76</v>
      </c>
      <c r="F6" s="28" t="s">
        <v>83</v>
      </c>
      <c r="G6" s="29" t="s">
        <v>84</v>
      </c>
      <c r="H6" s="30" t="s">
        <v>85</v>
      </c>
      <c r="I6" s="29" t="s">
        <v>85</v>
      </c>
      <c r="J6" s="30"/>
      <c r="K6" s="28" t="str">
        <f>"87,5"</f>
        <v>87,5</v>
      </c>
      <c r="L6" s="29" t="str">
        <f>"70,0350"</f>
        <v>70,0350</v>
      </c>
      <c r="M6" s="28" t="s">
        <v>86</v>
      </c>
    </row>
    <row r="8" spans="1:12" ht="15">
      <c r="A8" s="27" t="s">
        <v>72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ht="12.75">
      <c r="A9" s="28" t="s">
        <v>87</v>
      </c>
      <c r="B9" s="28" t="s">
        <v>88</v>
      </c>
      <c r="C9" s="28" t="s">
        <v>89</v>
      </c>
      <c r="D9" s="28" t="str">
        <f>"0,7179"</f>
        <v>0,7179</v>
      </c>
      <c r="E9" s="28" t="s">
        <v>76</v>
      </c>
      <c r="F9" s="28" t="s">
        <v>90</v>
      </c>
      <c r="G9" s="30" t="s">
        <v>26</v>
      </c>
      <c r="H9" s="29" t="s">
        <v>26</v>
      </c>
      <c r="I9" s="29" t="s">
        <v>91</v>
      </c>
      <c r="J9" s="30"/>
      <c r="K9" s="28" t="str">
        <f>"130,0"</f>
        <v>130,0</v>
      </c>
      <c r="L9" s="29" t="str">
        <f>"93,3270"</f>
        <v>93,3270</v>
      </c>
      <c r="M9" s="28" t="s">
        <v>92</v>
      </c>
    </row>
    <row r="11" spans="1:12" ht="15">
      <c r="A11" s="27" t="s">
        <v>93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3" ht="12.75">
      <c r="A12" s="28" t="s">
        <v>94</v>
      </c>
      <c r="B12" s="28" t="s">
        <v>95</v>
      </c>
      <c r="C12" s="28" t="s">
        <v>96</v>
      </c>
      <c r="D12" s="28" t="str">
        <f>"0,6749"</f>
        <v>0,6749</v>
      </c>
      <c r="E12" s="28" t="s">
        <v>76</v>
      </c>
      <c r="F12" s="28" t="s">
        <v>97</v>
      </c>
      <c r="G12" s="29" t="s">
        <v>27</v>
      </c>
      <c r="H12" s="29" t="s">
        <v>98</v>
      </c>
      <c r="I12" s="29" t="s">
        <v>99</v>
      </c>
      <c r="J12" s="30"/>
      <c r="K12" s="28" t="str">
        <f>"145,0"</f>
        <v>145,0</v>
      </c>
      <c r="L12" s="29" t="str">
        <f>"97,8605"</f>
        <v>97,8605</v>
      </c>
      <c r="M12" s="28" t="s">
        <v>92</v>
      </c>
    </row>
    <row r="14" spans="1:12" ht="15">
      <c r="A14" s="27" t="s">
        <v>18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3" ht="12.75">
      <c r="A15" s="22" t="s">
        <v>101</v>
      </c>
      <c r="B15" s="22" t="s">
        <v>102</v>
      </c>
      <c r="C15" s="22" t="s">
        <v>34</v>
      </c>
      <c r="D15" s="22" t="str">
        <f>"0,6519"</f>
        <v>0,6519</v>
      </c>
      <c r="E15" s="22" t="s">
        <v>76</v>
      </c>
      <c r="F15" s="22" t="s">
        <v>103</v>
      </c>
      <c r="G15" s="24" t="s">
        <v>60</v>
      </c>
      <c r="H15" s="24" t="s">
        <v>25</v>
      </c>
      <c r="I15" s="23" t="s">
        <v>104</v>
      </c>
      <c r="J15" s="23"/>
      <c r="K15" s="22" t="str">
        <f>"210,0"</f>
        <v>210,0</v>
      </c>
      <c r="L15" s="24" t="str">
        <f>"136,8990"</f>
        <v>136,8990</v>
      </c>
      <c r="M15" s="22" t="s">
        <v>105</v>
      </c>
    </row>
    <row r="16" spans="1:13" ht="12.75">
      <c r="A16" s="25" t="s">
        <v>106</v>
      </c>
      <c r="B16" s="25" t="s">
        <v>33</v>
      </c>
      <c r="C16" s="25" t="s">
        <v>34</v>
      </c>
      <c r="D16" s="25" t="str">
        <f>"0,6519"</f>
        <v>0,6519</v>
      </c>
      <c r="E16" s="25" t="s">
        <v>35</v>
      </c>
      <c r="F16" s="25" t="s">
        <v>36</v>
      </c>
      <c r="G16" s="26" t="s">
        <v>107</v>
      </c>
      <c r="H16" s="26" t="s">
        <v>107</v>
      </c>
      <c r="I16" s="31" t="s">
        <v>107</v>
      </c>
      <c r="J16" s="26"/>
      <c r="K16" s="25" t="str">
        <f>"105,0"</f>
        <v>105,0</v>
      </c>
      <c r="L16" s="31" t="str">
        <f>"68,4495"</f>
        <v>68,4495</v>
      </c>
      <c r="M16" s="25" t="s">
        <v>31</v>
      </c>
    </row>
    <row r="18" spans="1:12" ht="15">
      <c r="A18" s="27" t="s">
        <v>40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3" ht="12.75">
      <c r="A19" s="22" t="s">
        <v>108</v>
      </c>
      <c r="B19" s="22" t="s">
        <v>109</v>
      </c>
      <c r="C19" s="22" t="s">
        <v>110</v>
      </c>
      <c r="D19" s="22" t="str">
        <f>"0,6325"</f>
        <v>0,6325</v>
      </c>
      <c r="E19" s="22" t="s">
        <v>22</v>
      </c>
      <c r="F19" s="22" t="s">
        <v>23</v>
      </c>
      <c r="G19" s="24" t="s">
        <v>111</v>
      </c>
      <c r="H19" s="24" t="s">
        <v>47</v>
      </c>
      <c r="I19" s="24" t="s">
        <v>112</v>
      </c>
      <c r="J19" s="23"/>
      <c r="K19" s="22" t="str">
        <f>"175,0"</f>
        <v>175,0</v>
      </c>
      <c r="L19" s="24" t="str">
        <f>"110,6875"</f>
        <v>110,6875</v>
      </c>
      <c r="M19" s="22"/>
    </row>
    <row r="20" spans="1:13" ht="12.75">
      <c r="A20" s="38" t="s">
        <v>113</v>
      </c>
      <c r="B20" s="38" t="s">
        <v>114</v>
      </c>
      <c r="C20" s="38" t="s">
        <v>115</v>
      </c>
      <c r="D20" s="38" t="str">
        <f>"0,6139"</f>
        <v>0,6139</v>
      </c>
      <c r="E20" s="38" t="s">
        <v>22</v>
      </c>
      <c r="F20" s="38" t="s">
        <v>23</v>
      </c>
      <c r="G20" s="40" t="s">
        <v>98</v>
      </c>
      <c r="H20" s="40" t="s">
        <v>99</v>
      </c>
      <c r="I20" s="39" t="s">
        <v>37</v>
      </c>
      <c r="J20" s="39"/>
      <c r="K20" s="38" t="str">
        <f>"145,0"</f>
        <v>145,0</v>
      </c>
      <c r="L20" s="40" t="str">
        <f>"89,0155"</f>
        <v>89,0155</v>
      </c>
      <c r="M20" s="38" t="s">
        <v>31</v>
      </c>
    </row>
    <row r="21" spans="1:13" ht="12.75">
      <c r="A21" s="25" t="s">
        <v>116</v>
      </c>
      <c r="B21" s="25" t="s">
        <v>117</v>
      </c>
      <c r="C21" s="25" t="s">
        <v>115</v>
      </c>
      <c r="D21" s="25" t="str">
        <f>"0,6139"</f>
        <v>0,6139</v>
      </c>
      <c r="E21" s="25" t="s">
        <v>76</v>
      </c>
      <c r="F21" s="25" t="s">
        <v>77</v>
      </c>
      <c r="G21" s="26" t="s">
        <v>46</v>
      </c>
      <c r="H21" s="31" t="s">
        <v>118</v>
      </c>
      <c r="I21" s="31" t="s">
        <v>47</v>
      </c>
      <c r="J21" s="26"/>
      <c r="K21" s="25" t="str">
        <f>"167,5"</f>
        <v>167,5</v>
      </c>
      <c r="L21" s="31" t="str">
        <f>"116,1959"</f>
        <v>116,1959</v>
      </c>
      <c r="M21" s="25" t="s">
        <v>92</v>
      </c>
    </row>
    <row r="23" spans="1:12" ht="15">
      <c r="A23" s="27" t="s">
        <v>119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3" ht="12.75">
      <c r="A24" s="22" t="s">
        <v>120</v>
      </c>
      <c r="B24" s="22" t="s">
        <v>121</v>
      </c>
      <c r="C24" s="22" t="s">
        <v>122</v>
      </c>
      <c r="D24" s="22" t="str">
        <f>"0,5902"</f>
        <v>0,5902</v>
      </c>
      <c r="E24" s="22" t="s">
        <v>22</v>
      </c>
      <c r="F24" s="22" t="s">
        <v>23</v>
      </c>
      <c r="G24" s="23" t="s">
        <v>123</v>
      </c>
      <c r="H24" s="23" t="s">
        <v>123</v>
      </c>
      <c r="I24" s="23" t="s">
        <v>123</v>
      </c>
      <c r="J24" s="23"/>
      <c r="K24" s="22" t="str">
        <f>"0,0"</f>
        <v>0,0</v>
      </c>
      <c r="L24" s="24" t="str">
        <f>"0,0000"</f>
        <v>0,0000</v>
      </c>
      <c r="M24" s="22" t="s">
        <v>31</v>
      </c>
    </row>
    <row r="25" spans="1:13" ht="12.75">
      <c r="A25" s="25" t="s">
        <v>124</v>
      </c>
      <c r="B25" s="25" t="s">
        <v>125</v>
      </c>
      <c r="C25" s="25" t="s">
        <v>126</v>
      </c>
      <c r="D25" s="25" t="str">
        <f>"0,6019"</f>
        <v>0,6019</v>
      </c>
      <c r="E25" s="25" t="s">
        <v>76</v>
      </c>
      <c r="F25" s="25" t="s">
        <v>127</v>
      </c>
      <c r="G25" s="31" t="s">
        <v>111</v>
      </c>
      <c r="H25" s="31" t="s">
        <v>47</v>
      </c>
      <c r="I25" s="26" t="s">
        <v>123</v>
      </c>
      <c r="J25" s="26"/>
      <c r="K25" s="25" t="str">
        <f>"167,5"</f>
        <v>167,5</v>
      </c>
      <c r="L25" s="31" t="str">
        <f>"102,8346"</f>
        <v>102,8346</v>
      </c>
      <c r="M25" s="25" t="s">
        <v>128</v>
      </c>
    </row>
    <row r="28" ht="15">
      <c r="E28" s="19" t="s">
        <v>12</v>
      </c>
    </row>
    <row r="29" ht="15">
      <c r="E29" s="19" t="s">
        <v>13</v>
      </c>
    </row>
    <row r="30" ht="15">
      <c r="E30" s="19" t="s">
        <v>14</v>
      </c>
    </row>
    <row r="31" ht="15">
      <c r="E31" s="19" t="s">
        <v>15</v>
      </c>
    </row>
    <row r="32" ht="15">
      <c r="E32" s="19"/>
    </row>
    <row r="34" spans="1:2" ht="18">
      <c r="A34" s="20" t="s">
        <v>16</v>
      </c>
      <c r="B34" s="20"/>
    </row>
    <row r="35" spans="1:2" ht="15">
      <c r="A35" s="32" t="s">
        <v>64</v>
      </c>
      <c r="B35" s="32"/>
    </row>
    <row r="36" spans="1:2" ht="14.25">
      <c r="A36" s="34"/>
      <c r="B36" s="35" t="s">
        <v>71</v>
      </c>
    </row>
    <row r="37" spans="1:5" ht="15">
      <c r="A37" s="36" t="s">
        <v>65</v>
      </c>
      <c r="B37" s="36" t="s">
        <v>66</v>
      </c>
      <c r="C37" s="36" t="s">
        <v>67</v>
      </c>
      <c r="D37" s="36" t="s">
        <v>68</v>
      </c>
      <c r="E37" s="36" t="s">
        <v>69</v>
      </c>
    </row>
    <row r="38" spans="1:5" ht="12.75">
      <c r="A38" s="33" t="s">
        <v>100</v>
      </c>
      <c r="B38" s="5" t="s">
        <v>71</v>
      </c>
      <c r="C38" s="5" t="s">
        <v>70</v>
      </c>
      <c r="D38" s="5" t="s">
        <v>25</v>
      </c>
      <c r="E38" s="37" t="s">
        <v>132</v>
      </c>
    </row>
  </sheetData>
  <sheetProtection/>
  <mergeCells count="17">
    <mergeCell ref="A11:L11"/>
    <mergeCell ref="A14:L14"/>
    <mergeCell ref="A18:L18"/>
    <mergeCell ref="A23:L23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16.75390625" style="5" bestFit="1" customWidth="1"/>
    <col min="7" max="9" width="5.625" style="4" bestFit="1" customWidth="1"/>
    <col min="10" max="10" width="4.875" style="4" bestFit="1" customWidth="1"/>
    <col min="11" max="11" width="11.125" style="5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18" t="s">
        <v>381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2</v>
      </c>
      <c r="H3" s="11"/>
      <c r="I3" s="11"/>
      <c r="J3" s="11"/>
      <c r="K3" s="11" t="s">
        <v>136</v>
      </c>
      <c r="L3" s="11" t="s">
        <v>6</v>
      </c>
      <c r="M3" s="16" t="s">
        <v>5</v>
      </c>
    </row>
    <row r="4" spans="1:13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15"/>
      <c r="L4" s="15"/>
      <c r="M4" s="17"/>
    </row>
    <row r="5" spans="1:12" ht="15">
      <c r="A5" s="21" t="s">
        <v>137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2.75">
      <c r="A6" s="28" t="s">
        <v>138</v>
      </c>
      <c r="B6" s="28" t="s">
        <v>139</v>
      </c>
      <c r="C6" s="28" t="s">
        <v>140</v>
      </c>
      <c r="D6" s="28" t="str">
        <f>"1,1251"</f>
        <v>1,1251</v>
      </c>
      <c r="E6" s="28" t="s">
        <v>22</v>
      </c>
      <c r="F6" s="28" t="s">
        <v>23</v>
      </c>
      <c r="G6" s="30" t="s">
        <v>141</v>
      </c>
      <c r="H6" s="30" t="s">
        <v>141</v>
      </c>
      <c r="I6" s="29" t="s">
        <v>141</v>
      </c>
      <c r="J6" s="30"/>
      <c r="K6" s="28" t="str">
        <f>"120,0"</f>
        <v>120,0</v>
      </c>
      <c r="L6" s="29" t="str">
        <f>"135,0120"</f>
        <v>135,0120</v>
      </c>
      <c r="M6" s="28" t="s">
        <v>92</v>
      </c>
    </row>
    <row r="8" ht="15">
      <c r="E8" s="19" t="s">
        <v>12</v>
      </c>
    </row>
    <row r="9" ht="15">
      <c r="E9" s="19" t="s">
        <v>13</v>
      </c>
    </row>
    <row r="10" ht="15">
      <c r="E10" s="19" t="s">
        <v>14</v>
      </c>
    </row>
    <row r="11" ht="15">
      <c r="E11" s="19" t="s">
        <v>15</v>
      </c>
    </row>
    <row r="12" ht="15">
      <c r="E12" s="19"/>
    </row>
    <row r="14" spans="1:2" ht="18">
      <c r="A14" s="20" t="s">
        <v>16</v>
      </c>
      <c r="B14" s="20"/>
    </row>
    <row r="15" spans="1:2" ht="15">
      <c r="A15" s="32" t="s">
        <v>142</v>
      </c>
      <c r="B15" s="32"/>
    </row>
    <row r="16" spans="1:2" ht="14.25">
      <c r="A16" s="34"/>
      <c r="B16" s="35" t="s">
        <v>143</v>
      </c>
    </row>
    <row r="17" spans="1:5" ht="15">
      <c r="A17" s="36" t="s">
        <v>65</v>
      </c>
      <c r="B17" s="36" t="s">
        <v>66</v>
      </c>
      <c r="C17" s="36" t="s">
        <v>67</v>
      </c>
      <c r="D17" s="36" t="s">
        <v>68</v>
      </c>
      <c r="E17" s="36" t="s">
        <v>69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5">
      <selection activeCell="C51" sqref="C51"/>
    </sheetView>
  </sheetViews>
  <sheetFormatPr defaultColWidth="9.00390625" defaultRowHeight="12.75"/>
  <cols>
    <col min="1" max="1" width="30.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9.125" style="5" bestFit="1" customWidth="1"/>
    <col min="7" max="9" width="5.625" style="4" bestFit="1" customWidth="1"/>
    <col min="10" max="10" width="4.875" style="4" bestFit="1" customWidth="1"/>
    <col min="11" max="11" width="11.375" style="5" customWidth="1"/>
    <col min="12" max="12" width="8.625" style="4" bestFit="1" customWidth="1"/>
    <col min="13" max="13" width="22.875" style="5" bestFit="1" customWidth="1"/>
    <col min="14" max="16384" width="9.125" style="4" customWidth="1"/>
  </cols>
  <sheetData>
    <row r="1" spans="1:13" s="3" customFormat="1" ht="28.5" customHeight="1">
      <c r="A1" s="18" t="s">
        <v>382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3" customFormat="1" ht="6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1" customFormat="1" ht="12.75" customHeight="1">
      <c r="A3" s="12" t="s">
        <v>0</v>
      </c>
      <c r="B3" s="14" t="s">
        <v>9</v>
      </c>
      <c r="C3" s="14" t="s">
        <v>11</v>
      </c>
      <c r="D3" s="11" t="s">
        <v>17</v>
      </c>
      <c r="E3" s="11" t="s">
        <v>7</v>
      </c>
      <c r="F3" s="11" t="s">
        <v>10</v>
      </c>
      <c r="G3" s="11" t="s">
        <v>3</v>
      </c>
      <c r="H3" s="11"/>
      <c r="I3" s="11"/>
      <c r="J3" s="11"/>
      <c r="K3" s="11" t="s">
        <v>136</v>
      </c>
      <c r="L3" s="11" t="s">
        <v>6</v>
      </c>
      <c r="M3" s="16" t="s">
        <v>5</v>
      </c>
    </row>
    <row r="4" spans="1:13" s="1" customFormat="1" ht="21" customHeight="1" thickBot="1">
      <c r="A4" s="13"/>
      <c r="B4" s="15"/>
      <c r="C4" s="15"/>
      <c r="D4" s="15"/>
      <c r="E4" s="15"/>
      <c r="F4" s="15"/>
      <c r="G4" s="2">
        <v>1</v>
      </c>
      <c r="H4" s="2">
        <v>2</v>
      </c>
      <c r="I4" s="2">
        <v>3</v>
      </c>
      <c r="J4" s="2" t="s">
        <v>8</v>
      </c>
      <c r="K4" s="15"/>
      <c r="L4" s="15"/>
      <c r="M4" s="17"/>
    </row>
    <row r="5" spans="1:12" ht="15">
      <c r="A5" s="21" t="s">
        <v>145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2.75">
      <c r="A6" s="28" t="s">
        <v>146</v>
      </c>
      <c r="B6" s="28" t="s">
        <v>147</v>
      </c>
      <c r="C6" s="28" t="s">
        <v>148</v>
      </c>
      <c r="D6" s="28" t="str">
        <f>"1,3163"</f>
        <v>1,3163</v>
      </c>
      <c r="E6" s="28" t="s">
        <v>22</v>
      </c>
      <c r="F6" s="28" t="s">
        <v>23</v>
      </c>
      <c r="G6" s="29" t="s">
        <v>144</v>
      </c>
      <c r="H6" s="30" t="s">
        <v>149</v>
      </c>
      <c r="I6" s="29" t="s">
        <v>133</v>
      </c>
      <c r="J6" s="30"/>
      <c r="K6" s="28" t="str">
        <f>"75,0"</f>
        <v>75,0</v>
      </c>
      <c r="L6" s="29" t="str">
        <f>"98,7225"</f>
        <v>98,7225</v>
      </c>
      <c r="M6" s="28" t="s">
        <v>150</v>
      </c>
    </row>
    <row r="8" spans="1:12" ht="15">
      <c r="A8" s="27" t="s">
        <v>72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ht="12.75">
      <c r="A9" s="28" t="s">
        <v>73</v>
      </c>
      <c r="B9" s="28" t="s">
        <v>74</v>
      </c>
      <c r="C9" s="28" t="s">
        <v>75</v>
      </c>
      <c r="D9" s="28" t="str">
        <f>"0,9734"</f>
        <v>0,9734</v>
      </c>
      <c r="E9" s="28" t="s">
        <v>76</v>
      </c>
      <c r="F9" s="28" t="s">
        <v>77</v>
      </c>
      <c r="G9" s="30" t="s">
        <v>39</v>
      </c>
      <c r="H9" s="30"/>
      <c r="I9" s="30"/>
      <c r="J9" s="30"/>
      <c r="K9" s="28" t="str">
        <f>"0,0"</f>
        <v>0,0</v>
      </c>
      <c r="L9" s="29" t="str">
        <f>"0,0000"</f>
        <v>0,0000</v>
      </c>
      <c r="M9" s="28" t="s">
        <v>78</v>
      </c>
    </row>
    <row r="11" spans="1:12" ht="15">
      <c r="A11" s="27" t="s">
        <v>18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3" ht="12.75">
      <c r="A12" s="28" t="s">
        <v>151</v>
      </c>
      <c r="B12" s="28" t="s">
        <v>152</v>
      </c>
      <c r="C12" s="28" t="s">
        <v>153</v>
      </c>
      <c r="D12" s="28" t="str">
        <f>"0,8669"</f>
        <v>0,8669</v>
      </c>
      <c r="E12" s="28" t="s">
        <v>22</v>
      </c>
      <c r="F12" s="28" t="s">
        <v>23</v>
      </c>
      <c r="G12" s="29" t="s">
        <v>154</v>
      </c>
      <c r="H12" s="29" t="s">
        <v>155</v>
      </c>
      <c r="I12" s="29" t="s">
        <v>107</v>
      </c>
      <c r="J12" s="30"/>
      <c r="K12" s="28" t="str">
        <f>"105,0"</f>
        <v>105,0</v>
      </c>
      <c r="L12" s="29" t="str">
        <f>"91,0245"</f>
        <v>91,0245</v>
      </c>
      <c r="M12" s="41" t="s">
        <v>150</v>
      </c>
    </row>
    <row r="14" spans="1:12" ht="15">
      <c r="A14" s="27" t="s">
        <v>93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3" ht="12.75">
      <c r="A15" s="22" t="s">
        <v>156</v>
      </c>
      <c r="B15" s="22" t="s">
        <v>157</v>
      </c>
      <c r="C15" s="22" t="s">
        <v>158</v>
      </c>
      <c r="D15" s="22" t="str">
        <f>"0,6939"</f>
        <v>0,6939</v>
      </c>
      <c r="E15" s="22" t="s">
        <v>22</v>
      </c>
      <c r="F15" s="22" t="s">
        <v>23</v>
      </c>
      <c r="G15" s="23" t="s">
        <v>30</v>
      </c>
      <c r="H15" s="24" t="s">
        <v>159</v>
      </c>
      <c r="I15" s="24" t="s">
        <v>45</v>
      </c>
      <c r="J15" s="23"/>
      <c r="K15" s="22" t="str">
        <f>"240,0"</f>
        <v>240,0</v>
      </c>
      <c r="L15" s="24" t="str">
        <f>"166,5360"</f>
        <v>166,5360</v>
      </c>
      <c r="M15" s="22" t="s">
        <v>31</v>
      </c>
    </row>
    <row r="16" spans="1:13" ht="12.75">
      <c r="A16" s="38" t="s">
        <v>160</v>
      </c>
      <c r="B16" s="38" t="s">
        <v>161</v>
      </c>
      <c r="C16" s="38" t="s">
        <v>162</v>
      </c>
      <c r="D16" s="38" t="str">
        <f>"0,6795"</f>
        <v>0,6795</v>
      </c>
      <c r="E16" s="38" t="s">
        <v>76</v>
      </c>
      <c r="F16" s="38" t="s">
        <v>163</v>
      </c>
      <c r="G16" s="40" t="s">
        <v>24</v>
      </c>
      <c r="H16" s="40" t="s">
        <v>25</v>
      </c>
      <c r="I16" s="40" t="s">
        <v>104</v>
      </c>
      <c r="J16" s="39"/>
      <c r="K16" s="38" t="str">
        <f>"215,0"</f>
        <v>215,0</v>
      </c>
      <c r="L16" s="40" t="str">
        <f>"146,0925"</f>
        <v>146,0925</v>
      </c>
      <c r="M16" s="38" t="s">
        <v>31</v>
      </c>
    </row>
    <row r="17" spans="1:13" ht="12.75">
      <c r="A17" s="25" t="s">
        <v>164</v>
      </c>
      <c r="B17" s="25" t="s">
        <v>165</v>
      </c>
      <c r="C17" s="25" t="s">
        <v>162</v>
      </c>
      <c r="D17" s="25" t="str">
        <f>"0,6795"</f>
        <v>0,6795</v>
      </c>
      <c r="E17" s="25" t="s">
        <v>22</v>
      </c>
      <c r="F17" s="25" t="s">
        <v>23</v>
      </c>
      <c r="G17" s="31" t="s">
        <v>25</v>
      </c>
      <c r="H17" s="26" t="s">
        <v>166</v>
      </c>
      <c r="I17" s="26"/>
      <c r="J17" s="26"/>
      <c r="K17" s="25" t="str">
        <f>"210,0"</f>
        <v>210,0</v>
      </c>
      <c r="L17" s="31" t="str">
        <f>"142,6950"</f>
        <v>142,6950</v>
      </c>
      <c r="M17" s="25" t="s">
        <v>167</v>
      </c>
    </row>
    <row r="19" spans="1:12" ht="15">
      <c r="A19" s="27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3" ht="12.75">
      <c r="A20" s="28" t="s">
        <v>168</v>
      </c>
      <c r="B20" s="28" t="s">
        <v>33</v>
      </c>
      <c r="C20" s="28" t="s">
        <v>34</v>
      </c>
      <c r="D20" s="28" t="str">
        <f>"0,6519"</f>
        <v>0,6519</v>
      </c>
      <c r="E20" s="28" t="s">
        <v>35</v>
      </c>
      <c r="F20" s="28" t="s">
        <v>36</v>
      </c>
      <c r="G20" s="29" t="s">
        <v>37</v>
      </c>
      <c r="H20" s="29" t="s">
        <v>169</v>
      </c>
      <c r="I20" s="29" t="s">
        <v>48</v>
      </c>
      <c r="J20" s="30"/>
      <c r="K20" s="28" t="str">
        <f>"180,0"</f>
        <v>180,0</v>
      </c>
      <c r="L20" s="29" t="str">
        <f>"117,3420"</f>
        <v>117,3420</v>
      </c>
      <c r="M20" s="28" t="s">
        <v>31</v>
      </c>
    </row>
    <row r="22" spans="1:12" ht="15">
      <c r="A22" s="27" t="s">
        <v>50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3" ht="12.75">
      <c r="A23" s="22" t="s">
        <v>170</v>
      </c>
      <c r="B23" s="22" t="s">
        <v>171</v>
      </c>
      <c r="C23" s="22" t="s">
        <v>172</v>
      </c>
      <c r="D23" s="22" t="str">
        <f>"0,5759"</f>
        <v>0,5759</v>
      </c>
      <c r="E23" s="22" t="s">
        <v>76</v>
      </c>
      <c r="F23" s="22" t="s">
        <v>77</v>
      </c>
      <c r="G23" s="24" t="s">
        <v>24</v>
      </c>
      <c r="H23" s="24" t="s">
        <v>104</v>
      </c>
      <c r="I23" s="24" t="s">
        <v>159</v>
      </c>
      <c r="J23" s="23"/>
      <c r="K23" s="22" t="str">
        <f>"225,0"</f>
        <v>225,0</v>
      </c>
      <c r="L23" s="24" t="str">
        <f>"129,5775"</f>
        <v>129,5775</v>
      </c>
      <c r="M23" s="43" t="s">
        <v>383</v>
      </c>
    </row>
    <row r="24" spans="1:13" ht="12.75">
      <c r="A24" s="25" t="s">
        <v>173</v>
      </c>
      <c r="B24" s="25" t="s">
        <v>174</v>
      </c>
      <c r="C24" s="25" t="s">
        <v>175</v>
      </c>
      <c r="D24" s="25" t="str">
        <f>"0,5869"</f>
        <v>0,5869</v>
      </c>
      <c r="E24" s="25" t="s">
        <v>22</v>
      </c>
      <c r="F24" s="25" t="s">
        <v>23</v>
      </c>
      <c r="G24" s="31" t="s">
        <v>45</v>
      </c>
      <c r="H24" s="31" t="s">
        <v>49</v>
      </c>
      <c r="I24" s="31" t="s">
        <v>176</v>
      </c>
      <c r="J24" s="26"/>
      <c r="K24" s="25" t="str">
        <f>"257,5"</f>
        <v>257,5</v>
      </c>
      <c r="L24" s="31" t="str">
        <f>"154,1493"</f>
        <v>154,1493</v>
      </c>
      <c r="M24" s="25" t="s">
        <v>177</v>
      </c>
    </row>
    <row r="26" ht="15">
      <c r="E26" s="19" t="s">
        <v>12</v>
      </c>
    </row>
    <row r="27" ht="15">
      <c r="E27" s="19" t="s">
        <v>13</v>
      </c>
    </row>
    <row r="28" ht="15">
      <c r="E28" s="19" t="s">
        <v>14</v>
      </c>
    </row>
    <row r="29" ht="15">
      <c r="E29" s="19" t="s">
        <v>15</v>
      </c>
    </row>
    <row r="30" ht="15">
      <c r="E30" s="19"/>
    </row>
    <row r="32" spans="1:2" ht="18">
      <c r="A32" s="20" t="s">
        <v>16</v>
      </c>
      <c r="B32" s="20"/>
    </row>
    <row r="33" spans="1:2" ht="15">
      <c r="A33" s="32" t="s">
        <v>64</v>
      </c>
      <c r="B33" s="32"/>
    </row>
    <row r="34" spans="1:2" ht="14.25">
      <c r="A34" s="34"/>
      <c r="B34" s="35" t="s">
        <v>71</v>
      </c>
    </row>
    <row r="35" spans="1:5" ht="15">
      <c r="A35" s="36" t="s">
        <v>65</v>
      </c>
      <c r="B35" s="36" t="s">
        <v>66</v>
      </c>
      <c r="C35" s="36" t="s">
        <v>67</v>
      </c>
      <c r="D35" s="36" t="s">
        <v>68</v>
      </c>
      <c r="E35" s="36" t="s">
        <v>69</v>
      </c>
    </row>
  </sheetData>
  <sheetProtection/>
  <mergeCells count="17">
    <mergeCell ref="A14:L14"/>
    <mergeCell ref="A19:L19"/>
    <mergeCell ref="A22:L22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WPC</cp:lastModifiedBy>
  <cp:lastPrinted>2015-07-16T19:10:53Z</cp:lastPrinted>
  <dcterms:created xsi:type="dcterms:W3CDTF">2002-06-16T13:36:44Z</dcterms:created>
  <dcterms:modified xsi:type="dcterms:W3CDTF">2017-09-10T14:54:38Z</dcterms:modified>
  <cp:category/>
  <cp:version/>
  <cp:contentType/>
  <cp:contentStatus/>
</cp:coreProperties>
</file>