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горь\Google Диск\PowerLifting\WPF\Protocols\"/>
    </mc:Choice>
  </mc:AlternateContent>
  <bookViews>
    <workbookView xWindow="0" yWindow="0" windowWidth="15330" windowHeight="11760"/>
  </bookViews>
  <sheets>
    <sheet name="WPF PRO ТЯГА ЭЛИТА " sheetId="26" r:id="rId1"/>
    <sheet name="WPF PRO ПЛ в мн сл. эк." sheetId="8" r:id="rId2"/>
    <sheet name="WPF PRO ПЛ в 1-сл. эк." sheetId="7" r:id="rId3"/>
    <sheet name="WPF PRO ПЛ классик." sheetId="5" r:id="rId4"/>
    <sheet name="WPF PRO ПЛ безэк." sheetId="6" r:id="rId5"/>
    <sheet name="WPF PRO Жим в 1-сл. эк." sheetId="14" r:id="rId6"/>
    <sheet name="WPF PRO Жим безэк." sheetId="13" r:id="rId7"/>
    <sheet name="WPF PRO Тяга в 1-сл. эк." sheetId="20" r:id="rId8"/>
    <sheet name="WPF PRO Тяга безэк." sheetId="19" r:id="rId9"/>
    <sheet name="PRO НЖ 1 вес" sheetId="29" r:id="rId10"/>
    <sheet name="WPF AM ПЛ в 1-сл. эк." sheetId="12" r:id="rId11"/>
    <sheet name="WPF AM ПЛ классик." sheetId="10" r:id="rId12"/>
    <sheet name="WPF AM ПЛ безэк." sheetId="11" r:id="rId13"/>
    <sheet name="WPF AM Жим в мн сл. эк." sheetId="16" r:id="rId14"/>
    <sheet name="WPF AM Жим в 1-сл. эк." sheetId="18" r:id="rId15"/>
    <sheet name="WPF AM Жим безэк." sheetId="17" r:id="rId16"/>
    <sheet name="WPF AM Тяга в 1-сл. эк." sheetId="24" r:id="rId17"/>
    <sheet name="WPF AM Тяга безэк." sheetId="23" r:id="rId18"/>
    <sheet name="AM НЖ 1 вес" sheetId="28" r:id="rId19"/>
    <sheet name="AM НЖ 1_2 вес" sheetId="27" r:id="rId20"/>
  </sheets>
  <definedNames>
    <definedName name="_FilterDatabase" localSheetId="9" hidden="1">'PRO НЖ 1 вес'!$A$1:$I$3</definedName>
    <definedName name="_FilterDatabase" localSheetId="3" hidden="1">'WPF PRO ПЛ классик.'!$A$1:$S$3</definedName>
    <definedName name="_FilterDatabase" localSheetId="0" hidden="1">'WPF PRO ТЯГА ЭЛИТА '!$A$1:$K$3</definedName>
  </definedNames>
  <calcPr calcId="152511"/>
</workbook>
</file>

<file path=xl/calcChain.xml><?xml version="1.0" encoding="utf-8"?>
<calcChain xmlns="http://schemas.openxmlformats.org/spreadsheetml/2006/main">
  <c r="J16" i="29" l="1"/>
  <c r="I16" i="29"/>
  <c r="D16" i="29"/>
  <c r="J13" i="29"/>
  <c r="I13" i="29"/>
  <c r="D13" i="29"/>
  <c r="J10" i="29"/>
  <c r="I10" i="29"/>
  <c r="D10" i="29"/>
  <c r="J9" i="29"/>
  <c r="I9" i="29"/>
  <c r="D9" i="29"/>
  <c r="J6" i="29"/>
  <c r="I6" i="29"/>
  <c r="D6" i="29"/>
  <c r="J27" i="28"/>
  <c r="I27" i="28"/>
  <c r="D27" i="28"/>
  <c r="J26" i="28"/>
  <c r="I26" i="28"/>
  <c r="D26" i="28"/>
  <c r="J25" i="28"/>
  <c r="I25" i="28"/>
  <c r="D25" i="28"/>
  <c r="J24" i="28"/>
  <c r="I24" i="28"/>
  <c r="D24" i="28"/>
  <c r="J21" i="28"/>
  <c r="I21" i="28"/>
  <c r="D21" i="28"/>
  <c r="J20" i="28"/>
  <c r="I20" i="28"/>
  <c r="D20" i="28"/>
  <c r="J19" i="28"/>
  <c r="I19" i="28"/>
  <c r="D19" i="28"/>
  <c r="J16" i="28"/>
  <c r="I16" i="28"/>
  <c r="D16" i="28"/>
  <c r="J15" i="28"/>
  <c r="I15" i="28"/>
  <c r="D15" i="28"/>
  <c r="J14" i="28"/>
  <c r="I14" i="28"/>
  <c r="D14" i="28"/>
  <c r="J11" i="28"/>
  <c r="I11" i="28"/>
  <c r="D11" i="28"/>
  <c r="J10" i="28"/>
  <c r="I10" i="28"/>
  <c r="D10" i="28"/>
  <c r="J9" i="28"/>
  <c r="I9" i="28"/>
  <c r="D9" i="28"/>
  <c r="J6" i="28"/>
  <c r="I6" i="28"/>
  <c r="D6" i="28"/>
  <c r="J6" i="27"/>
  <c r="I6" i="27"/>
  <c r="D6" i="27"/>
  <c r="D6" i="26"/>
  <c r="K6" i="26"/>
  <c r="L6" i="26"/>
  <c r="D9" i="26"/>
  <c r="K9" i="26"/>
  <c r="L9" i="26"/>
  <c r="D10" i="26"/>
  <c r="K10" i="26"/>
  <c r="L10" i="26"/>
  <c r="D11" i="26"/>
  <c r="K11" i="26"/>
  <c r="L11" i="26"/>
  <c r="D12" i="26"/>
  <c r="K12" i="26"/>
  <c r="L12" i="26"/>
  <c r="D13" i="26"/>
  <c r="K13" i="26"/>
  <c r="L13" i="26"/>
  <c r="D14" i="26"/>
  <c r="K14" i="26"/>
  <c r="L14" i="26"/>
  <c r="D17" i="26"/>
  <c r="K17" i="26"/>
  <c r="L17" i="26"/>
  <c r="D18" i="26"/>
  <c r="K18" i="26"/>
  <c r="L18" i="26"/>
  <c r="D19" i="26"/>
  <c r="K19" i="26"/>
  <c r="L19" i="26"/>
  <c r="D22" i="26"/>
  <c r="K22" i="26"/>
  <c r="L22" i="26"/>
  <c r="D23" i="26"/>
  <c r="K23" i="26"/>
  <c r="L23" i="26"/>
  <c r="D24" i="26"/>
  <c r="K24" i="26"/>
  <c r="L24" i="26"/>
  <c r="D25" i="26"/>
  <c r="K25" i="26"/>
  <c r="L25" i="26"/>
  <c r="D26" i="26"/>
  <c r="K26" i="26"/>
  <c r="L26" i="26"/>
  <c r="D29" i="26"/>
  <c r="K29" i="26"/>
  <c r="L29" i="26"/>
  <c r="D30" i="26"/>
  <c r="K30" i="26"/>
  <c r="L30" i="26"/>
  <c r="D31" i="26"/>
  <c r="K31" i="26"/>
  <c r="L31" i="26"/>
  <c r="D32" i="26"/>
  <c r="K32" i="26"/>
  <c r="L32" i="26"/>
  <c r="D33" i="26"/>
  <c r="K33" i="26"/>
  <c r="L33" i="26"/>
  <c r="D36" i="26"/>
  <c r="K36" i="26"/>
  <c r="L36" i="26"/>
  <c r="D39" i="26"/>
  <c r="K39" i="26"/>
  <c r="L39" i="26"/>
  <c r="D40" i="26"/>
  <c r="K40" i="26"/>
  <c r="L40" i="26"/>
  <c r="L6" i="24"/>
  <c r="K6" i="24"/>
  <c r="D6" i="24"/>
  <c r="L59" i="23"/>
  <c r="K59" i="23"/>
  <c r="D59" i="23"/>
  <c r="L56" i="23"/>
  <c r="K56" i="23"/>
  <c r="D56" i="23"/>
  <c r="L55" i="23"/>
  <c r="K55" i="23"/>
  <c r="D55" i="23"/>
  <c r="L52" i="23"/>
  <c r="K52" i="23"/>
  <c r="D52" i="23"/>
  <c r="L51" i="23"/>
  <c r="K51" i="23"/>
  <c r="D51" i="23"/>
  <c r="L50" i="23"/>
  <c r="K50" i="23"/>
  <c r="D50" i="23"/>
  <c r="L49" i="23"/>
  <c r="K49" i="23"/>
  <c r="D49" i="23"/>
  <c r="L48" i="23"/>
  <c r="K48" i="23"/>
  <c r="D48" i="23"/>
  <c r="L47" i="23"/>
  <c r="K47" i="23"/>
  <c r="D47" i="23"/>
  <c r="L46" i="23"/>
  <c r="K46" i="23"/>
  <c r="D46" i="23"/>
  <c r="L45" i="23"/>
  <c r="K45" i="23"/>
  <c r="D45" i="23"/>
  <c r="L42" i="23"/>
  <c r="K42" i="23"/>
  <c r="D42" i="23"/>
  <c r="L41" i="23"/>
  <c r="K41" i="23"/>
  <c r="D41" i="23"/>
  <c r="L40" i="23"/>
  <c r="K40" i="23"/>
  <c r="D40" i="23"/>
  <c r="L39" i="23"/>
  <c r="K39" i="23"/>
  <c r="D39" i="23"/>
  <c r="L38" i="23"/>
  <c r="K38" i="23"/>
  <c r="D38" i="23"/>
  <c r="L37" i="23"/>
  <c r="K37" i="23"/>
  <c r="D37" i="23"/>
  <c r="L36" i="23"/>
  <c r="K36" i="23"/>
  <c r="D36" i="23"/>
  <c r="L33" i="23"/>
  <c r="K33" i="23"/>
  <c r="D33" i="23"/>
  <c r="L32" i="23"/>
  <c r="K32" i="23"/>
  <c r="D32" i="23"/>
  <c r="L31" i="23"/>
  <c r="K31" i="23"/>
  <c r="D31" i="23"/>
  <c r="L30" i="23"/>
  <c r="K30" i="23"/>
  <c r="D30" i="23"/>
  <c r="L27" i="23"/>
  <c r="K27" i="23"/>
  <c r="D27" i="23"/>
  <c r="L26" i="23"/>
  <c r="K26" i="23"/>
  <c r="D26" i="23"/>
  <c r="L25" i="23"/>
  <c r="K25" i="23"/>
  <c r="D25" i="23"/>
  <c r="L24" i="23"/>
  <c r="K24" i="23"/>
  <c r="D24" i="23"/>
  <c r="L23" i="23"/>
  <c r="K23" i="23"/>
  <c r="D23" i="23"/>
  <c r="L20" i="23"/>
  <c r="K20" i="23"/>
  <c r="D20" i="23"/>
  <c r="L17" i="23"/>
  <c r="K17" i="23"/>
  <c r="D17" i="23"/>
  <c r="L16" i="23"/>
  <c r="K16" i="23"/>
  <c r="D16" i="23"/>
  <c r="L15" i="23"/>
  <c r="K15" i="23"/>
  <c r="D15" i="23"/>
  <c r="L12" i="23"/>
  <c r="K12" i="23"/>
  <c r="D12" i="23"/>
  <c r="L11" i="23"/>
  <c r="K11" i="23"/>
  <c r="D11" i="23"/>
  <c r="L10" i="23"/>
  <c r="K10" i="23"/>
  <c r="D10" i="23"/>
  <c r="L9" i="23"/>
  <c r="K9" i="23"/>
  <c r="D9" i="23"/>
  <c r="L6" i="23"/>
  <c r="K6" i="23"/>
  <c r="D6" i="23"/>
  <c r="L6" i="20"/>
  <c r="K6" i="20"/>
  <c r="D6" i="20"/>
  <c r="L29" i="19"/>
  <c r="K29" i="19"/>
  <c r="D29" i="19"/>
  <c r="L26" i="19"/>
  <c r="K26" i="19"/>
  <c r="D26" i="19"/>
  <c r="L23" i="19"/>
  <c r="K23" i="19"/>
  <c r="D23" i="19"/>
  <c r="L20" i="19"/>
  <c r="K20" i="19"/>
  <c r="D20" i="19"/>
  <c r="L17" i="19"/>
  <c r="K17" i="19"/>
  <c r="D17" i="19"/>
  <c r="L16" i="19"/>
  <c r="K16" i="19"/>
  <c r="D16" i="19"/>
  <c r="L13" i="19"/>
  <c r="K13" i="19"/>
  <c r="D13" i="19"/>
  <c r="L12" i="19"/>
  <c r="K12" i="19"/>
  <c r="D12" i="19"/>
  <c r="L9" i="19"/>
  <c r="K9" i="19"/>
  <c r="D9" i="19"/>
  <c r="L6" i="19"/>
  <c r="K6" i="19"/>
  <c r="D6" i="19"/>
  <c r="L16" i="18"/>
  <c r="K16" i="18"/>
  <c r="D16" i="18"/>
  <c r="L15" i="18"/>
  <c r="K15" i="18"/>
  <c r="D15" i="18"/>
  <c r="L12" i="18"/>
  <c r="K12" i="18"/>
  <c r="D12" i="18"/>
  <c r="L9" i="18"/>
  <c r="K9" i="18"/>
  <c r="D9" i="18"/>
  <c r="L6" i="18"/>
  <c r="K6" i="18"/>
  <c r="D6" i="18"/>
  <c r="L93" i="17"/>
  <c r="K93" i="17"/>
  <c r="D93" i="17"/>
  <c r="L90" i="17"/>
  <c r="K90" i="17"/>
  <c r="D90" i="17"/>
  <c r="L89" i="17"/>
  <c r="K89" i="17"/>
  <c r="D89" i="17"/>
  <c r="L86" i="17"/>
  <c r="K86" i="17"/>
  <c r="D86" i="17"/>
  <c r="L85" i="17"/>
  <c r="K85" i="17"/>
  <c r="D85" i="17"/>
  <c r="L84" i="17"/>
  <c r="K84" i="17"/>
  <c r="D84" i="17"/>
  <c r="L83" i="17"/>
  <c r="K83" i="17"/>
  <c r="D83" i="17"/>
  <c r="L82" i="17"/>
  <c r="K82" i="17"/>
  <c r="D82" i="17"/>
  <c r="L79" i="17"/>
  <c r="K79" i="17"/>
  <c r="D79" i="17"/>
  <c r="L78" i="17"/>
  <c r="K78" i="17"/>
  <c r="D78" i="17"/>
  <c r="L77" i="17"/>
  <c r="K77" i="17"/>
  <c r="D77" i="17"/>
  <c r="L76" i="17"/>
  <c r="K76" i="17"/>
  <c r="D76" i="17"/>
  <c r="L75" i="17"/>
  <c r="K75" i="17"/>
  <c r="D75" i="17"/>
  <c r="L74" i="17"/>
  <c r="K74" i="17"/>
  <c r="D74" i="17"/>
  <c r="L71" i="17"/>
  <c r="K71" i="17"/>
  <c r="D71" i="17"/>
  <c r="L70" i="17"/>
  <c r="K70" i="17"/>
  <c r="D70" i="17"/>
  <c r="L69" i="17"/>
  <c r="K69" i="17"/>
  <c r="D69" i="17"/>
  <c r="L68" i="17"/>
  <c r="K68" i="17"/>
  <c r="D68" i="17"/>
  <c r="L67" i="17"/>
  <c r="K67" i="17"/>
  <c r="D67" i="17"/>
  <c r="L66" i="17"/>
  <c r="K66" i="17"/>
  <c r="D66" i="17"/>
  <c r="L65" i="17"/>
  <c r="K65" i="17"/>
  <c r="D65" i="17"/>
  <c r="L64" i="17"/>
  <c r="K64" i="17"/>
  <c r="D64" i="17"/>
  <c r="L63" i="17"/>
  <c r="K63" i="17"/>
  <c r="D63" i="17"/>
  <c r="L60" i="17"/>
  <c r="K60" i="17"/>
  <c r="D60" i="17"/>
  <c r="L59" i="17"/>
  <c r="K59" i="17"/>
  <c r="D59" i="17"/>
  <c r="L58" i="17"/>
  <c r="K58" i="17"/>
  <c r="D58" i="17"/>
  <c r="L57" i="17"/>
  <c r="K57" i="17"/>
  <c r="D57" i="17"/>
  <c r="L56" i="17"/>
  <c r="K56" i="17"/>
  <c r="D56" i="17"/>
  <c r="L53" i="17"/>
  <c r="K53" i="17"/>
  <c r="D53" i="17"/>
  <c r="L52" i="17"/>
  <c r="K52" i="17"/>
  <c r="D52" i="17"/>
  <c r="L51" i="17"/>
  <c r="K51" i="17"/>
  <c r="D51" i="17"/>
  <c r="L50" i="17"/>
  <c r="K50" i="17"/>
  <c r="D50" i="17"/>
  <c r="L49" i="17"/>
  <c r="K49" i="17"/>
  <c r="D49" i="17"/>
  <c r="L48" i="17"/>
  <c r="K48" i="17"/>
  <c r="D48" i="17"/>
  <c r="L47" i="17"/>
  <c r="K47" i="17"/>
  <c r="D47" i="17"/>
  <c r="L46" i="17"/>
  <c r="K46" i="17"/>
  <c r="D46" i="17"/>
  <c r="L45" i="17"/>
  <c r="K45" i="17"/>
  <c r="D45" i="17"/>
  <c r="L44" i="17"/>
  <c r="K44" i="17"/>
  <c r="D44" i="17"/>
  <c r="L43" i="17"/>
  <c r="K43" i="17"/>
  <c r="D43" i="17"/>
  <c r="L40" i="17"/>
  <c r="K40" i="17"/>
  <c r="D40" i="17"/>
  <c r="L39" i="17"/>
  <c r="K39" i="17"/>
  <c r="D39" i="17"/>
  <c r="L38" i="17"/>
  <c r="K38" i="17"/>
  <c r="D38" i="17"/>
  <c r="L37" i="17"/>
  <c r="K37" i="17"/>
  <c r="D37" i="17"/>
  <c r="L36" i="17"/>
  <c r="K36" i="17"/>
  <c r="D36" i="17"/>
  <c r="L35" i="17"/>
  <c r="K35" i="17"/>
  <c r="D35" i="17"/>
  <c r="L34" i="17"/>
  <c r="K34" i="17"/>
  <c r="D34" i="17"/>
  <c r="L31" i="17"/>
  <c r="K31" i="17"/>
  <c r="D31" i="17"/>
  <c r="L30" i="17"/>
  <c r="K30" i="17"/>
  <c r="D30" i="17"/>
  <c r="L27" i="17"/>
  <c r="K27" i="17"/>
  <c r="D27" i="17"/>
  <c r="L26" i="17"/>
  <c r="K26" i="17"/>
  <c r="D26" i="17"/>
  <c r="L23" i="17"/>
  <c r="K23" i="17"/>
  <c r="D23" i="17"/>
  <c r="L20" i="17"/>
  <c r="K20" i="17"/>
  <c r="D20" i="17"/>
  <c r="L17" i="17"/>
  <c r="K17" i="17"/>
  <c r="D17" i="17"/>
  <c r="L16" i="17"/>
  <c r="K16" i="17"/>
  <c r="D16" i="17"/>
  <c r="L13" i="17"/>
  <c r="K13" i="17"/>
  <c r="D13" i="17"/>
  <c r="L12" i="17"/>
  <c r="K12" i="17"/>
  <c r="D12" i="17"/>
  <c r="L11" i="17"/>
  <c r="K11" i="17"/>
  <c r="D11" i="17"/>
  <c r="L8" i="17"/>
  <c r="K8" i="17"/>
  <c r="D8" i="17"/>
  <c r="L7" i="17"/>
  <c r="K7" i="17"/>
  <c r="D7" i="17"/>
  <c r="L6" i="17"/>
  <c r="K6" i="17"/>
  <c r="D6" i="17"/>
  <c r="L6" i="16"/>
  <c r="K6" i="16"/>
  <c r="D6" i="16"/>
  <c r="L27" i="14"/>
  <c r="K27" i="14"/>
  <c r="D27" i="14"/>
  <c r="L24" i="14"/>
  <c r="K24" i="14"/>
  <c r="D24" i="14"/>
  <c r="L23" i="14"/>
  <c r="K23" i="14"/>
  <c r="D23" i="14"/>
  <c r="L22" i="14"/>
  <c r="K22" i="14"/>
  <c r="D22" i="14"/>
  <c r="L19" i="14"/>
  <c r="K19" i="14"/>
  <c r="D19" i="14"/>
  <c r="L18" i="14"/>
  <c r="K18" i="14"/>
  <c r="D18" i="14"/>
  <c r="L15" i="14"/>
  <c r="K15" i="14"/>
  <c r="D15" i="14"/>
  <c r="L14" i="14"/>
  <c r="K14" i="14"/>
  <c r="D14" i="14"/>
  <c r="L13" i="14"/>
  <c r="K13" i="14"/>
  <c r="D13" i="14"/>
  <c r="L10" i="14"/>
  <c r="K10" i="14"/>
  <c r="D10" i="14"/>
  <c r="L7" i="14"/>
  <c r="K7" i="14"/>
  <c r="D7" i="14"/>
  <c r="L6" i="14"/>
  <c r="K6" i="14"/>
  <c r="D6" i="14"/>
  <c r="L40" i="13"/>
  <c r="K40" i="13"/>
  <c r="D40" i="13"/>
  <c r="L39" i="13"/>
  <c r="K39" i="13"/>
  <c r="D39" i="13"/>
  <c r="L38" i="13"/>
  <c r="K38" i="13"/>
  <c r="D38" i="13"/>
  <c r="L37" i="13"/>
  <c r="K37" i="13"/>
  <c r="D37" i="13"/>
  <c r="L34" i="13"/>
  <c r="K34" i="13"/>
  <c r="D34" i="13"/>
  <c r="L33" i="13"/>
  <c r="K33" i="13"/>
  <c r="D33" i="13"/>
  <c r="L30" i="13"/>
  <c r="K30" i="13"/>
  <c r="D30" i="13"/>
  <c r="L29" i="13"/>
  <c r="K29" i="13"/>
  <c r="D29" i="13"/>
  <c r="L28" i="13"/>
  <c r="K28" i="13"/>
  <c r="D28" i="13"/>
  <c r="L25" i="13"/>
  <c r="K25" i="13"/>
  <c r="D25" i="13"/>
  <c r="L24" i="13"/>
  <c r="K24" i="13"/>
  <c r="D24" i="13"/>
  <c r="L23" i="13"/>
  <c r="K23" i="13"/>
  <c r="D23" i="13"/>
  <c r="L22" i="13"/>
  <c r="K22" i="13"/>
  <c r="D22" i="13"/>
  <c r="L21" i="13"/>
  <c r="K21" i="13"/>
  <c r="D21" i="13"/>
  <c r="L18" i="13"/>
  <c r="K18" i="13"/>
  <c r="D18" i="13"/>
  <c r="L17" i="13"/>
  <c r="K17" i="13"/>
  <c r="D17" i="13"/>
  <c r="L16" i="13"/>
  <c r="K16" i="13"/>
  <c r="D16" i="13"/>
  <c r="L15" i="13"/>
  <c r="K15" i="13"/>
  <c r="D15" i="13"/>
  <c r="L12" i="13"/>
  <c r="K12" i="13"/>
  <c r="D12" i="13"/>
  <c r="L11" i="13"/>
  <c r="K11" i="13"/>
  <c r="D11" i="13"/>
  <c r="L10" i="13"/>
  <c r="K10" i="13"/>
  <c r="D10" i="13"/>
  <c r="L9" i="13"/>
  <c r="K9" i="13"/>
  <c r="D9" i="13"/>
  <c r="L6" i="13"/>
  <c r="K6" i="13"/>
  <c r="D6" i="13"/>
  <c r="T6" i="12"/>
  <c r="S6" i="12"/>
  <c r="D6" i="12"/>
  <c r="T50" i="11"/>
  <c r="S50" i="11"/>
  <c r="D50" i="11"/>
  <c r="T47" i="11"/>
  <c r="S47" i="11"/>
  <c r="D47" i="11"/>
  <c r="T46" i="11"/>
  <c r="S46" i="11"/>
  <c r="D46" i="11"/>
  <c r="T45" i="11"/>
  <c r="S45" i="11"/>
  <c r="D45" i="11"/>
  <c r="T44" i="11"/>
  <c r="S44" i="11"/>
  <c r="D44" i="11"/>
  <c r="T41" i="11"/>
  <c r="S41" i="11"/>
  <c r="D41" i="11"/>
  <c r="T40" i="11"/>
  <c r="S40" i="11"/>
  <c r="D40" i="11"/>
  <c r="T37" i="11"/>
  <c r="S37" i="11"/>
  <c r="D37" i="11"/>
  <c r="T36" i="11"/>
  <c r="S36" i="11"/>
  <c r="D36" i="11"/>
  <c r="T35" i="11"/>
  <c r="S35" i="11"/>
  <c r="D35" i="11"/>
  <c r="T34" i="11"/>
  <c r="S34" i="11"/>
  <c r="D34" i="11"/>
  <c r="T33" i="11"/>
  <c r="S33" i="11"/>
  <c r="D33" i="11"/>
  <c r="T30" i="11"/>
  <c r="S30" i="11"/>
  <c r="D30" i="11"/>
  <c r="T27" i="11"/>
  <c r="S27" i="11"/>
  <c r="D27" i="11"/>
  <c r="T24" i="11"/>
  <c r="S24" i="11"/>
  <c r="D24" i="11"/>
  <c r="T23" i="11"/>
  <c r="S23" i="11"/>
  <c r="D23" i="11"/>
  <c r="T22" i="11"/>
  <c r="S22" i="11"/>
  <c r="D22" i="11"/>
  <c r="T19" i="11"/>
  <c r="S19" i="11"/>
  <c r="D19" i="11"/>
  <c r="T18" i="11"/>
  <c r="S18" i="11"/>
  <c r="D18" i="11"/>
  <c r="T17" i="11"/>
  <c r="S17" i="11"/>
  <c r="D17" i="11"/>
  <c r="T16" i="11"/>
  <c r="S16" i="11"/>
  <c r="D16" i="11"/>
  <c r="T13" i="11"/>
  <c r="S13" i="11"/>
  <c r="D13" i="11"/>
  <c r="T10" i="11"/>
  <c r="S10" i="11"/>
  <c r="D10" i="11"/>
  <c r="T9" i="11"/>
  <c r="S9" i="11"/>
  <c r="D9" i="11"/>
  <c r="T6" i="11"/>
  <c r="S6" i="11"/>
  <c r="D6" i="11"/>
  <c r="T46" i="10"/>
  <c r="S46" i="10"/>
  <c r="D46" i="10"/>
  <c r="T45" i="10"/>
  <c r="S45" i="10"/>
  <c r="D45" i="10"/>
  <c r="T44" i="10"/>
  <c r="S44" i="10"/>
  <c r="D44" i="10"/>
  <c r="T43" i="10"/>
  <c r="S43" i="10"/>
  <c r="D43" i="10"/>
  <c r="T40" i="10"/>
  <c r="S40" i="10"/>
  <c r="D40" i="10"/>
  <c r="T37" i="10"/>
  <c r="S37" i="10"/>
  <c r="D37" i="10"/>
  <c r="T36" i="10"/>
  <c r="S36" i="10"/>
  <c r="D36" i="10"/>
  <c r="T33" i="10"/>
  <c r="S33" i="10"/>
  <c r="D33" i="10"/>
  <c r="T32" i="10"/>
  <c r="S32" i="10"/>
  <c r="D32" i="10"/>
  <c r="T31" i="10"/>
  <c r="S31" i="10"/>
  <c r="D31" i="10"/>
  <c r="T30" i="10"/>
  <c r="S30" i="10"/>
  <c r="D30" i="10"/>
  <c r="T29" i="10"/>
  <c r="S29" i="10"/>
  <c r="D29" i="10"/>
  <c r="T28" i="10"/>
  <c r="S28" i="10"/>
  <c r="D28" i="10"/>
  <c r="T25" i="10"/>
  <c r="S25" i="10"/>
  <c r="D25" i="10"/>
  <c r="T22" i="10"/>
  <c r="S22" i="10"/>
  <c r="D22" i="10"/>
  <c r="T19" i="10"/>
  <c r="S19" i="10"/>
  <c r="D19" i="10"/>
  <c r="T18" i="10"/>
  <c r="S18" i="10"/>
  <c r="D18" i="10"/>
  <c r="T15" i="10"/>
  <c r="S15" i="10"/>
  <c r="D15" i="10"/>
  <c r="T14" i="10"/>
  <c r="S14" i="10"/>
  <c r="D14" i="10"/>
  <c r="T11" i="10"/>
  <c r="S11" i="10"/>
  <c r="D11" i="10"/>
  <c r="T8" i="10"/>
  <c r="S8" i="10"/>
  <c r="D8" i="10"/>
  <c r="T7" i="10"/>
  <c r="S7" i="10"/>
  <c r="D7" i="10"/>
  <c r="T6" i="10"/>
  <c r="S6" i="10"/>
  <c r="D6" i="10"/>
  <c r="T9" i="8"/>
  <c r="S9" i="8"/>
  <c r="D9" i="8"/>
  <c r="T6" i="8"/>
  <c r="S6" i="8"/>
  <c r="D6" i="8"/>
  <c r="T9" i="7"/>
  <c r="S9" i="7"/>
  <c r="D9" i="7"/>
  <c r="T6" i="7"/>
  <c r="S6" i="7"/>
  <c r="D6" i="7"/>
  <c r="T25" i="6"/>
  <c r="S25" i="6"/>
  <c r="D25" i="6"/>
  <c r="T24" i="6"/>
  <c r="S24" i="6"/>
  <c r="D24" i="6"/>
  <c r="T23" i="6"/>
  <c r="S23" i="6"/>
  <c r="D23" i="6"/>
  <c r="T20" i="6"/>
  <c r="S20" i="6"/>
  <c r="D20" i="6"/>
  <c r="T19" i="6"/>
  <c r="S19" i="6"/>
  <c r="D19" i="6"/>
  <c r="T18" i="6"/>
  <c r="S18" i="6"/>
  <c r="D18" i="6"/>
  <c r="T15" i="6"/>
  <c r="S15" i="6"/>
  <c r="D15" i="6"/>
  <c r="T14" i="6"/>
  <c r="S14" i="6"/>
  <c r="D14" i="6"/>
  <c r="T11" i="6"/>
  <c r="S11" i="6"/>
  <c r="D11" i="6"/>
  <c r="T10" i="6"/>
  <c r="S10" i="6"/>
  <c r="D10" i="6"/>
  <c r="T9" i="6"/>
  <c r="S9" i="6"/>
  <c r="D9" i="6"/>
  <c r="T6" i="6"/>
  <c r="S6" i="6"/>
  <c r="D6" i="6"/>
  <c r="T21" i="5"/>
  <c r="S21" i="5"/>
  <c r="D21" i="5"/>
  <c r="T18" i="5"/>
  <c r="S18" i="5"/>
  <c r="D18" i="5"/>
  <c r="T17" i="5"/>
  <c r="S17" i="5"/>
  <c r="D17" i="5"/>
  <c r="T16" i="5"/>
  <c r="S16" i="5"/>
  <c r="D16" i="5"/>
  <c r="T13" i="5"/>
  <c r="S13" i="5"/>
  <c r="D13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<sst xmlns="http://schemas.openxmlformats.org/spreadsheetml/2006/main" count="4871" uniqueCount="1585">
  <si>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</si>
  <si>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</si>
  <si>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</si>
  <si>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</si>
  <si>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</si>
  <si>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</si>
  <si>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</si>
  <si>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</si>
  <si>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</si>
  <si>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</si>
  <si>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</si>
  <si>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</si>
  <si>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</si>
  <si>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75</t>
  </si>
  <si>
    <t>Астахова Елена</t>
  </si>
  <si>
    <t>1. Астахова Елена</t>
  </si>
  <si>
    <t>Открытая (17.04.1982)/37</t>
  </si>
  <si>
    <t>70,40</t>
  </si>
  <si>
    <t xml:space="preserve">Лично </t>
  </si>
  <si>
    <t xml:space="preserve">Клин/Московская область </t>
  </si>
  <si>
    <t>145,0</t>
  </si>
  <si>
    <t>150,0</t>
  </si>
  <si>
    <t>155,0</t>
  </si>
  <si>
    <t>82,5</t>
  </si>
  <si>
    <t>85,0</t>
  </si>
  <si>
    <t>87,5</t>
  </si>
  <si>
    <t>170,0</t>
  </si>
  <si>
    <t>177,5</t>
  </si>
  <si>
    <t>180,0</t>
  </si>
  <si>
    <t xml:space="preserve">Астахова Е. А. </t>
  </si>
  <si>
    <t>ВЕСОВАЯ КАТЕГОРИЯ   82.5</t>
  </si>
  <si>
    <t>Ремизевич Евгений</t>
  </si>
  <si>
    <t>1. Ремизевич Евгений</t>
  </si>
  <si>
    <t>Открытая (03.03.1992)/27</t>
  </si>
  <si>
    <t>79,50</t>
  </si>
  <si>
    <t xml:space="preserve">Москва </t>
  </si>
  <si>
    <t xml:space="preserve">Москва/ </t>
  </si>
  <si>
    <t>165,0</t>
  </si>
  <si>
    <t>172,5</t>
  </si>
  <si>
    <t>105,0</t>
  </si>
  <si>
    <t>112,5</t>
  </si>
  <si>
    <t>115,0</t>
  </si>
  <si>
    <t>190,0</t>
  </si>
  <si>
    <t>220,0</t>
  </si>
  <si>
    <t>225,0</t>
  </si>
  <si>
    <t xml:space="preserve">Лакалин А.С. </t>
  </si>
  <si>
    <t>ВЕСОВАЯ КАТЕГОРИЯ   90</t>
  </si>
  <si>
    <t>Тимуров ТИМУР</t>
  </si>
  <si>
    <t>1. Тимуров ТИМУР</t>
  </si>
  <si>
    <t>Открытая (09.09.1992)/27</t>
  </si>
  <si>
    <t>88,80</t>
  </si>
  <si>
    <t>200,0</t>
  </si>
  <si>
    <t>230,0</t>
  </si>
  <si>
    <t>210,0</t>
  </si>
  <si>
    <t xml:space="preserve">Коваленко Кирилл </t>
  </si>
  <si>
    <t>-. Голосов Сергей</t>
  </si>
  <si>
    <t>Открытая (25.08.1987)/32</t>
  </si>
  <si>
    <t xml:space="preserve">Голосов С. С. </t>
  </si>
  <si>
    <t>ВЕСОВАЯ КАТЕГОРИЯ   100</t>
  </si>
  <si>
    <t>Золотухин Владислав</t>
  </si>
  <si>
    <t>1. Золотухин Владислав</t>
  </si>
  <si>
    <t>Юноши 15-19 (30.01.2002)/17</t>
  </si>
  <si>
    <t>95,80</t>
  </si>
  <si>
    <t xml:space="preserve">Орехово-Зуево/Московская облас </t>
  </si>
  <si>
    <t>195,0</t>
  </si>
  <si>
    <t>80,0</t>
  </si>
  <si>
    <t>92,5</t>
  </si>
  <si>
    <t>160,0</t>
  </si>
  <si>
    <t xml:space="preserve">Ушков И.Д </t>
  </si>
  <si>
    <t>Юдаев Александр</t>
  </si>
  <si>
    <t>1. Юдаев Александр</t>
  </si>
  <si>
    <t>Открытая (10.02.1994)/25</t>
  </si>
  <si>
    <t xml:space="preserve">Тула/Тульская область </t>
  </si>
  <si>
    <t>275,0</t>
  </si>
  <si>
    <t>290,0</t>
  </si>
  <si>
    <t>302,5</t>
  </si>
  <si>
    <t>175,0</t>
  </si>
  <si>
    <t>182,5</t>
  </si>
  <si>
    <t>295,0</t>
  </si>
  <si>
    <t>305,0</t>
  </si>
  <si>
    <t xml:space="preserve">. </t>
  </si>
  <si>
    <t>Мацкевич Александр</t>
  </si>
  <si>
    <t>2. Мацкевич Александр</t>
  </si>
  <si>
    <t>Открытая (26.08.1988)/31</t>
  </si>
  <si>
    <t>99,60</t>
  </si>
  <si>
    <t>260,0</t>
  </si>
  <si>
    <t>270,0</t>
  </si>
  <si>
    <t>280,0</t>
  </si>
  <si>
    <t>187,5</t>
  </si>
  <si>
    <t>192,5</t>
  </si>
  <si>
    <t>307,5</t>
  </si>
  <si>
    <t>315,0</t>
  </si>
  <si>
    <t xml:space="preserve">Ушаков А. </t>
  </si>
  <si>
    <t>ВЕСОВАЯ КАТЕГОРИЯ   125</t>
  </si>
  <si>
    <t>Чижов Кирилл</t>
  </si>
  <si>
    <t>1. Чижов Кирилл</t>
  </si>
  <si>
    <t>Юноши 15-19 (15.05.2001)/18</t>
  </si>
  <si>
    <t>116,30</t>
  </si>
  <si>
    <t>140,0</t>
  </si>
  <si>
    <t>100,0</t>
  </si>
  <si>
    <t>110,0</t>
  </si>
  <si>
    <t xml:space="preserve">Ушков И. Д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</si>
  <si>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</si>
  <si>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</si>
  <si>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</si>
  <si>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</si>
  <si>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</si>
  <si>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</si>
  <si>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</si>
  <si>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</si>
  <si>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</si>
  <si>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</si>
  <si>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</si>
  <si>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</si>
  <si>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</si>
  <si>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75</t>
  </si>
  <si>
    <t>417,5</t>
  </si>
  <si>
    <t>413,7425</t>
  </si>
  <si>
    <t xml:space="preserve">Мужчины </t>
  </si>
  <si>
    <t xml:space="preserve">Юноши </t>
  </si>
  <si>
    <t xml:space="preserve">Юноши 15-19 </t>
  </si>
  <si>
    <t>100</t>
  </si>
  <si>
    <t>452,5</t>
  </si>
  <si>
    <t>280,4143</t>
  </si>
  <si>
    <t>125</t>
  </si>
  <si>
    <t>440,0</t>
  </si>
  <si>
    <t>254,8920</t>
  </si>
  <si>
    <t>790,0</t>
  </si>
  <si>
    <t>489,5630</t>
  </si>
  <si>
    <t>782,5</t>
  </si>
  <si>
    <t>477,0120</t>
  </si>
  <si>
    <t>90</t>
  </si>
  <si>
    <t>620,0</t>
  </si>
  <si>
    <t>398,5360</t>
  </si>
  <si>
    <t>82.5</t>
  </si>
  <si>
    <t>495,0</t>
  </si>
  <si>
    <t>339,2730</t>
  </si>
  <si>
    <t>ВЕСОВАЯ КАТЕГОРИЯ   67.5</t>
  </si>
  <si>
    <t>Гатаев Динислам</t>
  </si>
  <si>
    <t>1. Гатаев Динислам</t>
  </si>
  <si>
    <t>Открытая (23.10.1996)/22</t>
  </si>
  <si>
    <t>67,40</t>
  </si>
  <si>
    <t>240,0</t>
  </si>
  <si>
    <t>250,0</t>
  </si>
  <si>
    <t xml:space="preserve">Самост </t>
  </si>
  <si>
    <t>-. Кабашов Дмитрий</t>
  </si>
  <si>
    <t>Юниоры 20 - 23 (06.11.1996)/22</t>
  </si>
  <si>
    <t>80,70</t>
  </si>
  <si>
    <t xml:space="preserve">Дмитров/Московская область </t>
  </si>
  <si>
    <t>205,0</t>
  </si>
  <si>
    <t xml:space="preserve">Прадед А. </t>
  </si>
  <si>
    <t>Столяров Яков</t>
  </si>
  <si>
    <t>1. Столяров Яков</t>
  </si>
  <si>
    <t>Открытая (25.05.1985)/34</t>
  </si>
  <si>
    <t>78,50</t>
  </si>
  <si>
    <t xml:space="preserve">Павловский Посад/Московская об </t>
  </si>
  <si>
    <t>212,5</t>
  </si>
  <si>
    <t>217,5</t>
  </si>
  <si>
    <t xml:space="preserve">Болдин И.В. </t>
  </si>
  <si>
    <t>Открытая (06.11.1996)/22</t>
  </si>
  <si>
    <t>Хоменко Роман</t>
  </si>
  <si>
    <t>1. Хоменко Роман</t>
  </si>
  <si>
    <t>Открытая (22.10.1996)/22</t>
  </si>
  <si>
    <t>89,10</t>
  </si>
  <si>
    <t>232,5</t>
  </si>
  <si>
    <t>237,5</t>
  </si>
  <si>
    <t>135,0</t>
  </si>
  <si>
    <t>142,5</t>
  </si>
  <si>
    <t>287,5</t>
  </si>
  <si>
    <t xml:space="preserve"> </t>
  </si>
  <si>
    <t>Аскаралиев Жавохир</t>
  </si>
  <si>
    <t>2. Аскаралиев Жавохир</t>
  </si>
  <si>
    <t>Открытая (29.12.1993)/25</t>
  </si>
  <si>
    <t>89,20</t>
  </si>
  <si>
    <t>Дворцов Александр</t>
  </si>
  <si>
    <t>1. Дворцов Александр</t>
  </si>
  <si>
    <t>Открытая (09.07.1981)/38</t>
  </si>
  <si>
    <t>100,00</t>
  </si>
  <si>
    <t>245,0</t>
  </si>
  <si>
    <t>255,0</t>
  </si>
  <si>
    <t xml:space="preserve">Дворцов А.В. </t>
  </si>
  <si>
    <t>Сапунков Константин</t>
  </si>
  <si>
    <t>2. Сапунков Константин</t>
  </si>
  <si>
    <t>Открытая (02.09.1981)/38</t>
  </si>
  <si>
    <t>97,70</t>
  </si>
  <si>
    <t xml:space="preserve">Ивантеевка/Московская область </t>
  </si>
  <si>
    <t>235,0</t>
  </si>
  <si>
    <t xml:space="preserve">Брехов Р.О. </t>
  </si>
  <si>
    <t>Коротченков Роман</t>
  </si>
  <si>
    <t>1. Коротченков Роман</t>
  </si>
  <si>
    <t>Ветераны 40 - 44 (30.07.1978)/41</t>
  </si>
  <si>
    <t>95,10</t>
  </si>
  <si>
    <t xml:space="preserve">Кубинка/Московская область </t>
  </si>
  <si>
    <t>215,0</t>
  </si>
  <si>
    <t xml:space="preserve">Курмей Д.В. </t>
  </si>
  <si>
    <t>Федоренко Алексей</t>
  </si>
  <si>
    <t>1. Федоренко Алексей</t>
  </si>
  <si>
    <t>Юниоры 20 - 23 (02.06.1996)/23</t>
  </si>
  <si>
    <t>119,00</t>
  </si>
  <si>
    <t xml:space="preserve">Химки/Московская область </t>
  </si>
  <si>
    <t>300,0</t>
  </si>
  <si>
    <t>310,0</t>
  </si>
  <si>
    <t>Открытая (02.06.1996)/23</t>
  </si>
  <si>
    <t>Маркин Николай</t>
  </si>
  <si>
    <t>2. Маркин Николай</t>
  </si>
  <si>
    <t>Открытая (14.03.1981)/38</t>
  </si>
  <si>
    <t>122,40</t>
  </si>
  <si>
    <t xml:space="preserve">Суровецкий А.Е. </t>
  </si>
  <si>
    <t xml:space="preserve">Юниоры </t>
  </si>
  <si>
    <t xml:space="preserve">Юниоры 20 - 23 </t>
  </si>
  <si>
    <t>765,0</t>
  </si>
  <si>
    <t>440,7165</t>
  </si>
  <si>
    <t>67.5</t>
  </si>
  <si>
    <t>595,0</t>
  </si>
  <si>
    <t>459,2805</t>
  </si>
  <si>
    <t>667,5</t>
  </si>
  <si>
    <t>428,3348</t>
  </si>
  <si>
    <t>695,0</t>
  </si>
  <si>
    <t>422,9770</t>
  </si>
  <si>
    <t>655,0</t>
  </si>
  <si>
    <t>420,0515</t>
  </si>
  <si>
    <t>672,5</t>
  </si>
  <si>
    <t>413,1840</t>
  </si>
  <si>
    <t>705,0</t>
  </si>
  <si>
    <t>403,5420</t>
  </si>
  <si>
    <t>490,0</t>
  </si>
  <si>
    <t>338,5900</t>
  </si>
  <si>
    <t xml:space="preserve">Ветераны </t>
  </si>
  <si>
    <t xml:space="preserve">Ветераны 40 - 44 </t>
  </si>
  <si>
    <t>373,6106</t>
  </si>
  <si>
    <t>Фёдоров Владимир</t>
  </si>
  <si>
    <t>1. Фёдоров Владимир</t>
  </si>
  <si>
    <t>Ветераны 55 - 59 (17.07.1962)/57</t>
  </si>
  <si>
    <t>74,00</t>
  </si>
  <si>
    <t xml:space="preserve">Вольск/Саратовская область </t>
  </si>
  <si>
    <t xml:space="preserve">Андреев Валентин </t>
  </si>
  <si>
    <t>-. Тарасов Артём</t>
  </si>
  <si>
    <t>Открытая (31.07.1992)/27</t>
  </si>
  <si>
    <t>88,70</t>
  </si>
  <si>
    <t xml:space="preserve">Ветераны 55 - 59 </t>
  </si>
  <si>
    <t>451,4758</t>
  </si>
  <si>
    <t>Носов Александр</t>
  </si>
  <si>
    <t>1. Носов Александр</t>
  </si>
  <si>
    <t>Открытая (31.01.1985)/34</t>
  </si>
  <si>
    <t>96,80</t>
  </si>
  <si>
    <t xml:space="preserve">Электросталь/Московская область </t>
  </si>
  <si>
    <t>262,5</t>
  </si>
  <si>
    <t>277,5</t>
  </si>
  <si>
    <t>197,5</t>
  </si>
  <si>
    <t>202,5</t>
  </si>
  <si>
    <t>272,5</t>
  </si>
  <si>
    <t>285,0</t>
  </si>
  <si>
    <t xml:space="preserve">Карасев А.П. </t>
  </si>
  <si>
    <t>ВЕСОВАЯ КАТЕГОРИЯ   110</t>
  </si>
  <si>
    <t>Мавренков Сергей</t>
  </si>
  <si>
    <t>1. Мавренков Сергей</t>
  </si>
  <si>
    <t>Открытая (05.11.1966)/52</t>
  </si>
  <si>
    <t>105,00</t>
  </si>
  <si>
    <t>252,5</t>
  </si>
  <si>
    <t>265,0</t>
  </si>
  <si>
    <t>780,0</t>
  </si>
  <si>
    <t>481,1820</t>
  </si>
  <si>
    <t>110</t>
  </si>
  <si>
    <t>805,0</t>
  </si>
  <si>
    <t>481,0680</t>
  </si>
  <si>
    <t>ВЕСОВАЯ КАТЕГОРИЯ   56</t>
  </si>
  <si>
    <t>Левенкова Наталья</t>
  </si>
  <si>
    <t>1. Левенкова Наталья</t>
  </si>
  <si>
    <t>Открытая (16.09.1988)/31</t>
  </si>
  <si>
    <t>54,70</t>
  </si>
  <si>
    <t>120,0</t>
  </si>
  <si>
    <t>125,0</t>
  </si>
  <si>
    <t>57,5</t>
  </si>
  <si>
    <t>60,0</t>
  </si>
  <si>
    <t>62,5</t>
  </si>
  <si>
    <t>147,5</t>
  </si>
  <si>
    <t>Фатькина Оксана</t>
  </si>
  <si>
    <t>2. Фатькина Оксана</t>
  </si>
  <si>
    <t>Открытая (25.04.1973)/46</t>
  </si>
  <si>
    <t>53,90</t>
  </si>
  <si>
    <t xml:space="preserve">Балашиха/Московская область </t>
  </si>
  <si>
    <t>50,0</t>
  </si>
  <si>
    <t>52,5</t>
  </si>
  <si>
    <t>55,0</t>
  </si>
  <si>
    <t>95,0</t>
  </si>
  <si>
    <t>1. Фатькина Оксана</t>
  </si>
  <si>
    <t>Ветераны 45 - 49 (25.04.1973)/46</t>
  </si>
  <si>
    <t>ВЕСОВАЯ КАТЕГОРИЯ   60</t>
  </si>
  <si>
    <t>Ломакина Екатерина</t>
  </si>
  <si>
    <t>1. Ломакина Екатерина</t>
  </si>
  <si>
    <t>Открытая (23.03.1984)/35</t>
  </si>
  <si>
    <t>58,60</t>
  </si>
  <si>
    <t>70,0</t>
  </si>
  <si>
    <t>75,0</t>
  </si>
  <si>
    <t>40,0</t>
  </si>
  <si>
    <t>42,5</t>
  </si>
  <si>
    <t>45,0</t>
  </si>
  <si>
    <t>90,0</t>
  </si>
  <si>
    <t>Рыжова Алина</t>
  </si>
  <si>
    <t>1. Рыжова Алина</t>
  </si>
  <si>
    <t>Юниорки 20 - 23 (27.03.1996)/23</t>
  </si>
  <si>
    <t>64,50</t>
  </si>
  <si>
    <t>47,5</t>
  </si>
  <si>
    <t>102,5</t>
  </si>
  <si>
    <t>Открытая (27.03.1996)/23</t>
  </si>
  <si>
    <t>Васильева Екатерина</t>
  </si>
  <si>
    <t>1. Васильева Екатерина</t>
  </si>
  <si>
    <t>Ветераны 40 - 44 (07.09.1976)/43</t>
  </si>
  <si>
    <t>72,50</t>
  </si>
  <si>
    <t>Лопатина Елена</t>
  </si>
  <si>
    <t>1. Лопатина Елена</t>
  </si>
  <si>
    <t>Ветераны 50 - 54 (05.04.1967)/52</t>
  </si>
  <si>
    <t>73,30</t>
  </si>
  <si>
    <t xml:space="preserve">Довбыш О. </t>
  </si>
  <si>
    <t>Логинова Анастасия</t>
  </si>
  <si>
    <t>1. Логинова Анастасия</t>
  </si>
  <si>
    <t>Открытая (04.04.1995)/24</t>
  </si>
  <si>
    <t>83,50</t>
  </si>
  <si>
    <t>Вторушин Даниил</t>
  </si>
  <si>
    <t>1. Вторушин Даниил</t>
  </si>
  <si>
    <t>Открытая (17.10.1995)/24</t>
  </si>
  <si>
    <t>81,00</t>
  </si>
  <si>
    <t>185,0</t>
  </si>
  <si>
    <t>152,5</t>
  </si>
  <si>
    <t>157,5</t>
  </si>
  <si>
    <t xml:space="preserve">Вторушин Д.Д. </t>
  </si>
  <si>
    <t>Белов Илья</t>
  </si>
  <si>
    <t>1. Белов Илья</t>
  </si>
  <si>
    <t>Открытая (26.12.1989)/29</t>
  </si>
  <si>
    <t>89,60</t>
  </si>
  <si>
    <t xml:space="preserve">Орехово-Зуево/Московская область </t>
  </si>
  <si>
    <t>222,5</t>
  </si>
  <si>
    <t xml:space="preserve">Юдаев А. </t>
  </si>
  <si>
    <t>Тарасов Виталий</t>
  </si>
  <si>
    <t>2. Тарасов Виталий</t>
  </si>
  <si>
    <t>Открытая (09.06.1977)/42</t>
  </si>
  <si>
    <t>87,50</t>
  </si>
  <si>
    <t>227,5</t>
  </si>
  <si>
    <t xml:space="preserve">Филиппов Игорь </t>
  </si>
  <si>
    <t>Ряховский Сергей</t>
  </si>
  <si>
    <t>3. Ряховский Сергей</t>
  </si>
  <si>
    <t>Открытая (03.04.1982)/37</t>
  </si>
  <si>
    <t>84,60</t>
  </si>
  <si>
    <t xml:space="preserve">Обухово/Московская область </t>
  </si>
  <si>
    <t xml:space="preserve">Ряховский С. А. </t>
  </si>
  <si>
    <t>1. Тарасов Виталий</t>
  </si>
  <si>
    <t>Ветераны 40 - 44 (09.06.1977)/42</t>
  </si>
  <si>
    <t>Огородников Иван</t>
  </si>
  <si>
    <t>2. Огородников Иван</t>
  </si>
  <si>
    <t>Ветераны 40 - 44 (14.11.1977)/41</t>
  </si>
  <si>
    <t>86,80</t>
  </si>
  <si>
    <t xml:space="preserve">Довбыш О.А. </t>
  </si>
  <si>
    <t>Архандеев Владимир</t>
  </si>
  <si>
    <t>1. Архандеев Владимир</t>
  </si>
  <si>
    <t>Ветераны 60 - 64 (26.01.1955)/64</t>
  </si>
  <si>
    <t>86,10</t>
  </si>
  <si>
    <t xml:space="preserve">Архандеев.В.В </t>
  </si>
  <si>
    <t>Сафронов Роман</t>
  </si>
  <si>
    <t>1. Сафронов Роман</t>
  </si>
  <si>
    <t>Открытая (04.08.1989)/30</t>
  </si>
  <si>
    <t>97,90</t>
  </si>
  <si>
    <t xml:space="preserve">Кровиков А.В. </t>
  </si>
  <si>
    <t>Михайлов Евгений</t>
  </si>
  <si>
    <t>1. Михайлов Евгений</t>
  </si>
  <si>
    <t>Ветераны 40 - 44 (23.06.1977)/42</t>
  </si>
  <si>
    <t>98,60</t>
  </si>
  <si>
    <t xml:space="preserve">Михайлов Е.А. </t>
  </si>
  <si>
    <t>-. Терских Вадим</t>
  </si>
  <si>
    <t>Ветераны 40 - 44 (20.04.1978)/41</t>
  </si>
  <si>
    <t>108,20</t>
  </si>
  <si>
    <t xml:space="preserve">Терских Вадим Анатольевич </t>
  </si>
  <si>
    <t>Дрожжин Андрей</t>
  </si>
  <si>
    <t>1. Дрожжин Андрей</t>
  </si>
  <si>
    <t>Открытая (21.11.1977)/41</t>
  </si>
  <si>
    <t>118,60</t>
  </si>
  <si>
    <t xml:space="preserve">Russia </t>
  </si>
  <si>
    <t xml:space="preserve">Хотьково/Московская область </t>
  </si>
  <si>
    <t xml:space="preserve">Мамичева Е. </t>
  </si>
  <si>
    <t>Перепичай Василий</t>
  </si>
  <si>
    <t>2. Перепичай Василий</t>
  </si>
  <si>
    <t>Открытая (27.02.1981)/38</t>
  </si>
  <si>
    <t>124,10</t>
  </si>
  <si>
    <t>Рак Иван</t>
  </si>
  <si>
    <t>3. Рак Иван</t>
  </si>
  <si>
    <t>Открытая (27.08.1974)/45</t>
  </si>
  <si>
    <t>117,20</t>
  </si>
  <si>
    <t xml:space="preserve">Евстигнеев М. </t>
  </si>
  <si>
    <t>1. Рак Иван</t>
  </si>
  <si>
    <t>Ветераны 45 - 49 (27.08.1974)/45</t>
  </si>
  <si>
    <t xml:space="preserve">Юниорки </t>
  </si>
  <si>
    <t>284,8770</t>
  </si>
  <si>
    <t>56</t>
  </si>
  <si>
    <t>335,0</t>
  </si>
  <si>
    <t>401,4975</t>
  </si>
  <si>
    <t>315,1980</t>
  </si>
  <si>
    <t>248,1960</t>
  </si>
  <si>
    <t>60</t>
  </si>
  <si>
    <t>207,5</t>
  </si>
  <si>
    <t>235,6162</t>
  </si>
  <si>
    <t xml:space="preserve">Ветераны 45 - 49 </t>
  </si>
  <si>
    <t>336,6314</t>
  </si>
  <si>
    <t>320,0</t>
  </si>
  <si>
    <t>320,5503</t>
  </si>
  <si>
    <t xml:space="preserve">Ветераны 50 - 54 </t>
  </si>
  <si>
    <t>303,4149</t>
  </si>
  <si>
    <t>745,0</t>
  </si>
  <si>
    <t>429,4925</t>
  </si>
  <si>
    <t>396,6760</t>
  </si>
  <si>
    <t>602,5</t>
  </si>
  <si>
    <t>390,3597</t>
  </si>
  <si>
    <t>682,5</t>
  </si>
  <si>
    <t>389,5027</t>
  </si>
  <si>
    <t>670,0</t>
  </si>
  <si>
    <t>387,3940</t>
  </si>
  <si>
    <t>552,5</t>
  </si>
  <si>
    <t>374,2635</t>
  </si>
  <si>
    <t>587,5</t>
  </si>
  <si>
    <t>360,6663</t>
  </si>
  <si>
    <t>485,0</t>
  </si>
  <si>
    <t>320,1485</t>
  </si>
  <si>
    <t xml:space="preserve">Ветераны 60 - 64 </t>
  </si>
  <si>
    <t>416,9968</t>
  </si>
  <si>
    <t>408,7007</t>
  </si>
  <si>
    <t>398,1669</t>
  </si>
  <si>
    <t>555,0</t>
  </si>
  <si>
    <t>346,5098</t>
  </si>
  <si>
    <t>435,0</t>
  </si>
  <si>
    <t>285,8850</t>
  </si>
  <si>
    <t>ВЕСОВАЯ КАТЕГОРИЯ   44</t>
  </si>
  <si>
    <t>Сучкова Екатерина</t>
  </si>
  <si>
    <t>1. Сучкова Екатерина</t>
  </si>
  <si>
    <t>Юниорки 20 - 23 (15.05.1997)/22</t>
  </si>
  <si>
    <t>42,00</t>
  </si>
  <si>
    <t>67,5</t>
  </si>
  <si>
    <t>72,5</t>
  </si>
  <si>
    <t>32,5</t>
  </si>
  <si>
    <t>35,0</t>
  </si>
  <si>
    <t>ВЕСОВАЯ КАТЕГОРИЯ   48</t>
  </si>
  <si>
    <t>Карпухина Ярослава</t>
  </si>
  <si>
    <t>1. Карпухина Ярослава</t>
  </si>
  <si>
    <t>Открытая (05.10.1994)/25</t>
  </si>
  <si>
    <t>47,60</t>
  </si>
  <si>
    <t>37,5</t>
  </si>
  <si>
    <t>Забодаева Виктория</t>
  </si>
  <si>
    <t>2. Забодаева Виктория</t>
  </si>
  <si>
    <t>Открытая (31.08.1995)/24</t>
  </si>
  <si>
    <t>48,00</t>
  </si>
  <si>
    <t xml:space="preserve">Истра/Московская область </t>
  </si>
  <si>
    <t>30,0</t>
  </si>
  <si>
    <t>25,0</t>
  </si>
  <si>
    <t xml:space="preserve">Лазарев В </t>
  </si>
  <si>
    <t>ВЕСОВАЯ КАТЕГОРИЯ   52</t>
  </si>
  <si>
    <t>Лукманова Алиса</t>
  </si>
  <si>
    <t>1. Лукманова Алиса</t>
  </si>
  <si>
    <t>Открытая (25.01.1992)/27</t>
  </si>
  <si>
    <t>51,60</t>
  </si>
  <si>
    <t xml:space="preserve">Лукманова А.Ф </t>
  </si>
  <si>
    <t>Камышникова Марина</t>
  </si>
  <si>
    <t>1. Камышникова Марина</t>
  </si>
  <si>
    <t>Открытая (16.02.1979)/40</t>
  </si>
  <si>
    <t>56,00</t>
  </si>
  <si>
    <t>130,0</t>
  </si>
  <si>
    <t xml:space="preserve">Мавренков С.В. </t>
  </si>
  <si>
    <t>Попова Анастасия</t>
  </si>
  <si>
    <t>2. Попова Анастасия</t>
  </si>
  <si>
    <t>Открытая (09.05.1992)/27</t>
  </si>
  <si>
    <t>54,80</t>
  </si>
  <si>
    <t xml:space="preserve">Московская область/Московская </t>
  </si>
  <si>
    <t>97,5</t>
  </si>
  <si>
    <t xml:space="preserve">Юдаев А </t>
  </si>
  <si>
    <t>Красуцкая Екатерина</t>
  </si>
  <si>
    <t>3. Красуцкая Екатерина</t>
  </si>
  <si>
    <t>Открытая (25.02.1988)/31</t>
  </si>
  <si>
    <t>55,50</t>
  </si>
  <si>
    <t>77,5</t>
  </si>
  <si>
    <t>Ветераны 40 - 44 (16.02.1979)/40</t>
  </si>
  <si>
    <t>Семерозуменко Алена</t>
  </si>
  <si>
    <t>1. Семерозуменко Алена</t>
  </si>
  <si>
    <t>Девушки 15-19 (11.09.2000)/19</t>
  </si>
  <si>
    <t>60,00</t>
  </si>
  <si>
    <t xml:space="preserve">Подольск/Московская область </t>
  </si>
  <si>
    <t>Якушина Мария</t>
  </si>
  <si>
    <t>1. Якушина Мария</t>
  </si>
  <si>
    <t>Открытая (14.10.1990)/29</t>
  </si>
  <si>
    <t xml:space="preserve">Лохадынов А. </t>
  </si>
  <si>
    <t>Нефедова Анастасия</t>
  </si>
  <si>
    <t>2. Нефедова Анастасия</t>
  </si>
  <si>
    <t>Открытая (01.06.1987)/32</t>
  </si>
  <si>
    <t>58,40</t>
  </si>
  <si>
    <t xml:space="preserve">Филиппов Игорь Юрьевич </t>
  </si>
  <si>
    <t>Романова Нина</t>
  </si>
  <si>
    <t>1. Романова Нина</t>
  </si>
  <si>
    <t>Ветераны 40 - 44 (19.05.1978)/41</t>
  </si>
  <si>
    <t>80,10</t>
  </si>
  <si>
    <t xml:space="preserve">Раменское/Московская область </t>
  </si>
  <si>
    <t>Ходкин Дмитрий</t>
  </si>
  <si>
    <t>1. Ходкин Дмитрий</t>
  </si>
  <si>
    <t>Юноши 15-19 (20.12.2002)/16</t>
  </si>
  <si>
    <t>73,20</t>
  </si>
  <si>
    <t xml:space="preserve">Лазарев В. Маркин Н.И. </t>
  </si>
  <si>
    <t>Вологузов Владимир</t>
  </si>
  <si>
    <t>1. Вологузов Владимир</t>
  </si>
  <si>
    <t>Юноши 15-19 (23.10.2000)/18</t>
  </si>
  <si>
    <t>79,30</t>
  </si>
  <si>
    <t xml:space="preserve">Пушкино/Московская область </t>
  </si>
  <si>
    <t>Чернов Олег</t>
  </si>
  <si>
    <t>1. Чернов Олег</t>
  </si>
  <si>
    <t>Открытая (04.06.1986)/33</t>
  </si>
  <si>
    <t>81,90</t>
  </si>
  <si>
    <t>Лободин Алексей</t>
  </si>
  <si>
    <t>2. Лободин Алексей</t>
  </si>
  <si>
    <t>Открытая (20.08.1988)/31</t>
  </si>
  <si>
    <t>82,10</t>
  </si>
  <si>
    <t xml:space="preserve">Краснодар/Краснодарский край </t>
  </si>
  <si>
    <t>122,5</t>
  </si>
  <si>
    <t>Булатов Алексей</t>
  </si>
  <si>
    <t>3. Булатов Алексей</t>
  </si>
  <si>
    <t>Открытая (09.01.1986)/33</t>
  </si>
  <si>
    <t>81,30</t>
  </si>
  <si>
    <t xml:space="preserve">Пермь/Пермский край </t>
  </si>
  <si>
    <t>107,5</t>
  </si>
  <si>
    <t xml:space="preserve">Головизнин Н.А. </t>
  </si>
  <si>
    <t>Валиахметов Разиф</t>
  </si>
  <si>
    <t>1. Валиахметов Разиф</t>
  </si>
  <si>
    <t>Ветераны 60 - 64 (15.09.1959)/60</t>
  </si>
  <si>
    <t>80,00</t>
  </si>
  <si>
    <t xml:space="preserve">Туймазы/Башкортостан </t>
  </si>
  <si>
    <t xml:space="preserve">Валиахметов Р.Р. </t>
  </si>
  <si>
    <t>Сигачев Артём</t>
  </si>
  <si>
    <t>1. Сигачев Артём</t>
  </si>
  <si>
    <t>Юноши 15-19 (16.08.2003)/16</t>
  </si>
  <si>
    <t xml:space="preserve">Юдаев. А </t>
  </si>
  <si>
    <t>Царёв Иван</t>
  </si>
  <si>
    <t>1. Царёв Иван</t>
  </si>
  <si>
    <t>Открытая (29.01.1985)/34</t>
  </si>
  <si>
    <t>Трунов Олег</t>
  </si>
  <si>
    <t>1. Трунов Олег</t>
  </si>
  <si>
    <t>Открытая (08.08.1988)/31</t>
  </si>
  <si>
    <t>95,90</t>
  </si>
  <si>
    <t>Полухин Александр</t>
  </si>
  <si>
    <t>2. Полухин Александр</t>
  </si>
  <si>
    <t>Открытая (29.06.1983)/36</t>
  </si>
  <si>
    <t>167,5</t>
  </si>
  <si>
    <t xml:space="preserve">Полухин А В </t>
  </si>
  <si>
    <t>Марченко Артём</t>
  </si>
  <si>
    <t>3. Марченко Артём</t>
  </si>
  <si>
    <t>Открытая (21.09.1988)/31</t>
  </si>
  <si>
    <t xml:space="preserve">Краснозаводск/Московская облас </t>
  </si>
  <si>
    <t>117,5</t>
  </si>
  <si>
    <t xml:space="preserve">Кляузов С.В. </t>
  </si>
  <si>
    <t>Третьяков Сергей</t>
  </si>
  <si>
    <t>1. Третьяков Сергей</t>
  </si>
  <si>
    <t>Ветераны 40 - 44 (17.08.1978)/41</t>
  </si>
  <si>
    <t>94,30</t>
  </si>
  <si>
    <t>127,5</t>
  </si>
  <si>
    <t>132,5</t>
  </si>
  <si>
    <t>137,5</t>
  </si>
  <si>
    <t>ВЕСОВАЯ КАТЕГОРИЯ   140</t>
  </si>
  <si>
    <t>Фролов Александр</t>
  </si>
  <si>
    <t>1. Фролов Александр</t>
  </si>
  <si>
    <t>Открытая (17.01.1988)/31</t>
  </si>
  <si>
    <t>126,20</t>
  </si>
  <si>
    <t xml:space="preserve">Девушки </t>
  </si>
  <si>
    <t>231,3417</t>
  </si>
  <si>
    <t>44</t>
  </si>
  <si>
    <t>301,0825</t>
  </si>
  <si>
    <t>347,0970</t>
  </si>
  <si>
    <t>48</t>
  </si>
  <si>
    <t>247,5</t>
  </si>
  <si>
    <t>329,8185</t>
  </si>
  <si>
    <t>323,3210</t>
  </si>
  <si>
    <t>52</t>
  </si>
  <si>
    <t>307,2545</t>
  </si>
  <si>
    <t>266,2657</t>
  </si>
  <si>
    <t>239,9423</t>
  </si>
  <si>
    <t>213,4875</t>
  </si>
  <si>
    <t>172,1720</t>
  </si>
  <si>
    <t>355,0</t>
  </si>
  <si>
    <t>327,8581</t>
  </si>
  <si>
    <t>420,0</t>
  </si>
  <si>
    <t>288,3300</t>
  </si>
  <si>
    <t>445,0</t>
  </si>
  <si>
    <t>286,2240</t>
  </si>
  <si>
    <t>345,0</t>
  </si>
  <si>
    <t>250,0905</t>
  </si>
  <si>
    <t>605,0</t>
  </si>
  <si>
    <t>391,9795</t>
  </si>
  <si>
    <t>384,0280</t>
  </si>
  <si>
    <t>507,5</t>
  </si>
  <si>
    <t>341,4968</t>
  </si>
  <si>
    <t>542,5</t>
  </si>
  <si>
    <t>330,1655</t>
  </si>
  <si>
    <t>472,5</t>
  </si>
  <si>
    <t>317,4727</t>
  </si>
  <si>
    <t>492,5</t>
  </si>
  <si>
    <t>302,3458</t>
  </si>
  <si>
    <t>412,5</t>
  </si>
  <si>
    <t>278,8087</t>
  </si>
  <si>
    <t>140</t>
  </si>
  <si>
    <t>275,8680</t>
  </si>
  <si>
    <t>467,5</t>
  </si>
  <si>
    <t>427,6774</t>
  </si>
  <si>
    <t>482,5</t>
  </si>
  <si>
    <t>304,1395</t>
  </si>
  <si>
    <t>Яшин Виктор</t>
  </si>
  <si>
    <t>1. Яшин Виктор</t>
  </si>
  <si>
    <t>Открытая (29.10.1989)/29</t>
  </si>
  <si>
    <t>83,80</t>
  </si>
  <si>
    <t xml:space="preserve">Ушков И.Д. </t>
  </si>
  <si>
    <t>600,0</t>
  </si>
  <si>
    <t>398,2200</t>
  </si>
  <si>
    <t>Яковлева Ирина</t>
  </si>
  <si>
    <t>1. Яковлева Ирина</t>
  </si>
  <si>
    <t>Открытая (08.01.1970)/49</t>
  </si>
  <si>
    <t>77,30</t>
  </si>
  <si>
    <t xml:space="preserve">Солнечногорск/Московская область </t>
  </si>
  <si>
    <t xml:space="preserve">Лепешичев А.А. </t>
  </si>
  <si>
    <t>Беспелюхин Алексей</t>
  </si>
  <si>
    <t>1. Беспелюхин Алексей</t>
  </si>
  <si>
    <t>Юноши 15-19 (01.10.2003)/16</t>
  </si>
  <si>
    <t>69,30</t>
  </si>
  <si>
    <t xml:space="preserve">Красногорск/Московская область </t>
  </si>
  <si>
    <t>Румянцев Александр</t>
  </si>
  <si>
    <t>1. Румянцев Александр</t>
  </si>
  <si>
    <t>Открытая (26.06.1991)/28</t>
  </si>
  <si>
    <t>73,40</t>
  </si>
  <si>
    <t xml:space="preserve">Селятино/Московская область </t>
  </si>
  <si>
    <t xml:space="preserve">Тимченко С.С. </t>
  </si>
  <si>
    <t>Кулаков Владимир</t>
  </si>
  <si>
    <t>1. Кулаков Владимир</t>
  </si>
  <si>
    <t>Ветераны 60 - 64 (24.12.1955)/63</t>
  </si>
  <si>
    <t>73,60</t>
  </si>
  <si>
    <t>Ионов Николай</t>
  </si>
  <si>
    <t>1. Ионов Николай</t>
  </si>
  <si>
    <t>Ветераны 70 - 74 (20.05.1949)/70</t>
  </si>
  <si>
    <t>71,90</t>
  </si>
  <si>
    <t xml:space="preserve">Хуснетдинова Т.И. </t>
  </si>
  <si>
    <t>Дымура Дмитрий</t>
  </si>
  <si>
    <t>1. Дымура Дмитрий</t>
  </si>
  <si>
    <t>Юноши 15-19 (09.10.2002)/17</t>
  </si>
  <si>
    <t>77,40</t>
  </si>
  <si>
    <t xml:space="preserve">Дымура Д.С. </t>
  </si>
  <si>
    <t>Магеррамов Дилдар</t>
  </si>
  <si>
    <t>2. Магеррамов Дилдар</t>
  </si>
  <si>
    <t>Юноши 15-19 (23.03.2002)/17</t>
  </si>
  <si>
    <t>81,50</t>
  </si>
  <si>
    <t xml:space="preserve">Калуга/Калужская область </t>
  </si>
  <si>
    <t>Распопов Максим</t>
  </si>
  <si>
    <t>1. Распопов Максим</t>
  </si>
  <si>
    <t>Открытая (11.07.1992)/27</t>
  </si>
  <si>
    <t>79,80</t>
  </si>
  <si>
    <t xml:space="preserve">Тольятти/Самарская область </t>
  </si>
  <si>
    <t xml:space="preserve">Луговой А.С. </t>
  </si>
  <si>
    <t>Петрокович Николай</t>
  </si>
  <si>
    <t>1. Петрокович Николай</t>
  </si>
  <si>
    <t>Ветераны 40 - 44 (17.08.1979)/40</t>
  </si>
  <si>
    <t>Поповский Павел</t>
  </si>
  <si>
    <t>1. Поповский Павел</t>
  </si>
  <si>
    <t>Юниоры 20 - 23 (01.06.1999)/20</t>
  </si>
  <si>
    <t>83,30</t>
  </si>
  <si>
    <t>Петриченко Максим</t>
  </si>
  <si>
    <t>1. Петриченко Максим</t>
  </si>
  <si>
    <t>Открытая (31.05.1987)/32</t>
  </si>
  <si>
    <t>86,00</t>
  </si>
  <si>
    <t xml:space="preserve">Рязань/Рязанская область </t>
  </si>
  <si>
    <t xml:space="preserve">Петриченко м.с </t>
  </si>
  <si>
    <t>Сидоров Евгений</t>
  </si>
  <si>
    <t>2. Сидоров Евгений</t>
  </si>
  <si>
    <t>Открытая (15.07.1983)/36</t>
  </si>
  <si>
    <t>89,00</t>
  </si>
  <si>
    <t>Арестов Александр</t>
  </si>
  <si>
    <t>3. Арестов Александр</t>
  </si>
  <si>
    <t>Открытая (08.06.1986)/33</t>
  </si>
  <si>
    <t>87,90</t>
  </si>
  <si>
    <t xml:space="preserve">Колохин П. </t>
  </si>
  <si>
    <t>Хуснетдинов Амир</t>
  </si>
  <si>
    <t>1. Хуснетдинов Амир</t>
  </si>
  <si>
    <t>Ветераны 70 - 74 (01.03.1948)/71</t>
  </si>
  <si>
    <t>86,30</t>
  </si>
  <si>
    <t>Евтеев Алексей</t>
  </si>
  <si>
    <t>1. Евтеев Алексей</t>
  </si>
  <si>
    <t>Открытая (08.08.1994)/25</t>
  </si>
  <si>
    <t>99,50</t>
  </si>
  <si>
    <t xml:space="preserve">Сайденцаль О. </t>
  </si>
  <si>
    <t>Мурзабеков Беймурад</t>
  </si>
  <si>
    <t>2. Мурзабеков Беймурад</t>
  </si>
  <si>
    <t>Открытая (06.09.1988)/31</t>
  </si>
  <si>
    <t>91,30</t>
  </si>
  <si>
    <t xml:space="preserve">Мурзабеков Б.А. </t>
  </si>
  <si>
    <t>Гончар Сергей</t>
  </si>
  <si>
    <t>3. Гончар Сергей</t>
  </si>
  <si>
    <t>Открытая (14.06.1989)/30</t>
  </si>
  <si>
    <t>99,20</t>
  </si>
  <si>
    <t xml:space="preserve">Красково/Московская область </t>
  </si>
  <si>
    <t xml:space="preserve">Гончар С.В. </t>
  </si>
  <si>
    <t>Лисицын Сергей</t>
  </si>
  <si>
    <t>1. Лисицын Сергей</t>
  </si>
  <si>
    <t>Открытая (26.10.1970)/48</t>
  </si>
  <si>
    <t>108,10</t>
  </si>
  <si>
    <t xml:space="preserve">Нахабино/Московская область </t>
  </si>
  <si>
    <t>Куделин Владимир</t>
  </si>
  <si>
    <t>2. Куделин Владимир</t>
  </si>
  <si>
    <t>Открытая (17.01.1987)/32</t>
  </si>
  <si>
    <t>107,50</t>
  </si>
  <si>
    <t>Мынка Эрик</t>
  </si>
  <si>
    <t>1. Мынка Эрик</t>
  </si>
  <si>
    <t>Юниоры 20 - 23 (14.07.1996)/23</t>
  </si>
  <si>
    <t>114,40</t>
  </si>
  <si>
    <t xml:space="preserve">Люберцы/Московская область </t>
  </si>
  <si>
    <t>Васильев Виталий</t>
  </si>
  <si>
    <t>1. Васильев Виталий</t>
  </si>
  <si>
    <t>Открытая (11.07.1994)/25</t>
  </si>
  <si>
    <t>115,80</t>
  </si>
  <si>
    <t xml:space="preserve">Ногинск-5/Московская область </t>
  </si>
  <si>
    <t xml:space="preserve">Васильев Виталий Андреевич </t>
  </si>
  <si>
    <t>Базанов Евгений</t>
  </si>
  <si>
    <t>2. Базанов Евгений</t>
  </si>
  <si>
    <t>Открытая (01.08.1991)/28</t>
  </si>
  <si>
    <t>125,00</t>
  </si>
  <si>
    <t>Мордвинцев Олег</t>
  </si>
  <si>
    <t>1. Мордвинцев Олег</t>
  </si>
  <si>
    <t>Ветераны 45 - 49 (21.03.1973)/46</t>
  </si>
  <si>
    <t>117,60</t>
  </si>
  <si>
    <t xml:space="preserve">Рассказово/Тамбовская область </t>
  </si>
  <si>
    <t xml:space="preserve">Рысцов А.В. </t>
  </si>
  <si>
    <t>111,9960</t>
  </si>
  <si>
    <t>83,7000</t>
  </si>
  <si>
    <t>77,4080</t>
  </si>
  <si>
    <t>67,4900</t>
  </si>
  <si>
    <t>125,1085</t>
  </si>
  <si>
    <t>63,2795</t>
  </si>
  <si>
    <t>135,6805</t>
  </si>
  <si>
    <t>122,7778</t>
  </si>
  <si>
    <t>117,7200</t>
  </si>
  <si>
    <t>117,0780</t>
  </si>
  <si>
    <t>110,2000</t>
  </si>
  <si>
    <t>107,7460</t>
  </si>
  <si>
    <t>105,9465</t>
  </si>
  <si>
    <t>102,5640</t>
  </si>
  <si>
    <t>100,1765</t>
  </si>
  <si>
    <t>99,1510</t>
  </si>
  <si>
    <t>88,5370</t>
  </si>
  <si>
    <t>79,5850</t>
  </si>
  <si>
    <t xml:space="preserve">Ветераны 70 - 74 </t>
  </si>
  <si>
    <t>131,6828</t>
  </si>
  <si>
    <t>120,8252</t>
  </si>
  <si>
    <t>92,5475</t>
  </si>
  <si>
    <t>87,2189</t>
  </si>
  <si>
    <t>74,5140</t>
  </si>
  <si>
    <t>Результат</t>
  </si>
  <si>
    <t>Открытая (24.12.1955)/63</t>
  </si>
  <si>
    <t>Шабров Александр</t>
  </si>
  <si>
    <t>1. Шабров Александр</t>
  </si>
  <si>
    <t>Открытая (07.02.1991)/28</t>
  </si>
  <si>
    <t>88,60</t>
  </si>
  <si>
    <t xml:space="preserve">Дубна/Московская область </t>
  </si>
  <si>
    <t>Нечпал Вячеслав</t>
  </si>
  <si>
    <t>1. Нечпал Вячеслав</t>
  </si>
  <si>
    <t>Открытая (02.07.1973)/46</t>
  </si>
  <si>
    <t>94,40</t>
  </si>
  <si>
    <t>-. Сапунков Константин</t>
  </si>
  <si>
    <t>Ветераны 45 - 49 (02.07.1973)/46</t>
  </si>
  <si>
    <t>Брехов Роман</t>
  </si>
  <si>
    <t>1. Брехов Роман</t>
  </si>
  <si>
    <t>Открытая (24.02.1990)/29</t>
  </si>
  <si>
    <t>108,30</t>
  </si>
  <si>
    <t xml:space="preserve">Соловьёв В. </t>
  </si>
  <si>
    <t>-. Абдуллин Марат</t>
  </si>
  <si>
    <t>Открытая (21.07.1985)/34</t>
  </si>
  <si>
    <t>105,20</t>
  </si>
  <si>
    <t xml:space="preserve">Борю Ю. </t>
  </si>
  <si>
    <t>Рысцов Александр</t>
  </si>
  <si>
    <t>1. Рысцов Александр</t>
  </si>
  <si>
    <t>Открытая (02.12.1979)/39</t>
  </si>
  <si>
    <t>113,30</t>
  </si>
  <si>
    <t>-. Пешко Владимир</t>
  </si>
  <si>
    <t>Открытая (12.02.1970)/49</t>
  </si>
  <si>
    <t>115,40</t>
  </si>
  <si>
    <t xml:space="preserve">Абдулин М. </t>
  </si>
  <si>
    <t>Ветераны 45 - 49 (12.02.1970)/49</t>
  </si>
  <si>
    <t>Шабалин Дмитрий</t>
  </si>
  <si>
    <t>1. Шабалин Дмитрий</t>
  </si>
  <si>
    <t>Ветераны 50 - 54 (19.01.1969)/50</t>
  </si>
  <si>
    <t>132,70</t>
  </si>
  <si>
    <t>158,9765</t>
  </si>
  <si>
    <t>155,2425</t>
  </si>
  <si>
    <t>149,7120</t>
  </si>
  <si>
    <t>135,1560</t>
  </si>
  <si>
    <t>63,1838</t>
  </si>
  <si>
    <t>194,2447</t>
  </si>
  <si>
    <t>159,8924</t>
  </si>
  <si>
    <t>89,7841</t>
  </si>
  <si>
    <t>Краснобаев Даниил</t>
  </si>
  <si>
    <t>1. Краснобаев Даниил</t>
  </si>
  <si>
    <t>Открытая (18.05.1981)/38</t>
  </si>
  <si>
    <t>75,00</t>
  </si>
  <si>
    <t>108,6715</t>
  </si>
  <si>
    <t>Грибахо Оксана</t>
  </si>
  <si>
    <t>1. Грибахо Оксана</t>
  </si>
  <si>
    <t>Открытая (30.12.1990)/28</t>
  </si>
  <si>
    <t>47,10</t>
  </si>
  <si>
    <t xml:space="preserve">Чуриков В. </t>
  </si>
  <si>
    <t>Бажина Екатерина</t>
  </si>
  <si>
    <t>2. Бажина Екатерина</t>
  </si>
  <si>
    <t>Открытая (04.04.1983)/36</t>
  </si>
  <si>
    <t xml:space="preserve">Бажина Е.В. </t>
  </si>
  <si>
    <t>3. Забодаева Виктория</t>
  </si>
  <si>
    <t>Давыденко Дарья</t>
  </si>
  <si>
    <t>2. Давыденко Дарья</t>
  </si>
  <si>
    <t>Открытая (29.04.1984)/35</t>
  </si>
  <si>
    <t>55,10</t>
  </si>
  <si>
    <t>Филиппова Анна</t>
  </si>
  <si>
    <t>1. Филиппова Анна</t>
  </si>
  <si>
    <t>Открытая (05.10.1979)/40</t>
  </si>
  <si>
    <t>58,30</t>
  </si>
  <si>
    <t>Медведева Елена</t>
  </si>
  <si>
    <t>1. Медведева Елена</t>
  </si>
  <si>
    <t>Ветераны 55 - 59 (10.10.1962)/57</t>
  </si>
  <si>
    <t>59,00</t>
  </si>
  <si>
    <t xml:space="preserve">Реутов/Московская область </t>
  </si>
  <si>
    <t>Баранова Ольга</t>
  </si>
  <si>
    <t>1. Баранова Ольга</t>
  </si>
  <si>
    <t>Ветераны 40 - 44 (21.05.1976)/43</t>
  </si>
  <si>
    <t>69,50</t>
  </si>
  <si>
    <t>65,0</t>
  </si>
  <si>
    <t>Саврасов Родион</t>
  </si>
  <si>
    <t>1. Саврасов Родион</t>
  </si>
  <si>
    <t>Юноши 15-19 (05.02.2004)/15</t>
  </si>
  <si>
    <t xml:space="preserve">Саврасов.Р.В </t>
  </si>
  <si>
    <t>Брус Алексей</t>
  </si>
  <si>
    <t>1. Брус Алексей</t>
  </si>
  <si>
    <t>Открытая (29.06.1993)/26</t>
  </si>
  <si>
    <t xml:space="preserve">Лохадынов Александр </t>
  </si>
  <si>
    <t>Фатькин Ярослав</t>
  </si>
  <si>
    <t>1. Фатькин Ярослав</t>
  </si>
  <si>
    <t>Юноши 15-19 (24.08.2000)/19</t>
  </si>
  <si>
    <t>65,50</t>
  </si>
  <si>
    <t>Злобин Игорь</t>
  </si>
  <si>
    <t>1. Злобин Игорь</t>
  </si>
  <si>
    <t>Ветераны 50 - 54 (17.03.1966)/53</t>
  </si>
  <si>
    <t>66,60</t>
  </si>
  <si>
    <t xml:space="preserve">Волков Вячеслав Левонович </t>
  </si>
  <si>
    <t>Сахарнюк Вадим</t>
  </si>
  <si>
    <t>1. Сахарнюк Вадим</t>
  </si>
  <si>
    <t>Открытая (07.11.1981)/37</t>
  </si>
  <si>
    <t>74,90</t>
  </si>
  <si>
    <t>Манаенков Александр</t>
  </si>
  <si>
    <t>2. Манаенков Александр</t>
  </si>
  <si>
    <t>Открытая (19.04.1992)/27</t>
  </si>
  <si>
    <t>74,60</t>
  </si>
  <si>
    <t xml:space="preserve">Манаенков А.Г. </t>
  </si>
  <si>
    <t>Буханцев Антон</t>
  </si>
  <si>
    <t>3. Буханцев Антон</t>
  </si>
  <si>
    <t>Открытая (22.06.1991)/28</t>
  </si>
  <si>
    <t>73,50</t>
  </si>
  <si>
    <t>Гурьянов Сергей</t>
  </si>
  <si>
    <t>4. Гурьянов Сергей</t>
  </si>
  <si>
    <t>Открытая (16.12.1990)/28</t>
  </si>
  <si>
    <t>Пекарский Николай</t>
  </si>
  <si>
    <t>5. Пекарский Николай</t>
  </si>
  <si>
    <t>Открытая (16.12.1989)/29</t>
  </si>
  <si>
    <t>Шалунов Алексей</t>
  </si>
  <si>
    <t>1. Шалунов Алексей</t>
  </si>
  <si>
    <t>Ветераны 50 - 54 (24.07.1969)/50</t>
  </si>
  <si>
    <t xml:space="preserve">Афанягин С.А. </t>
  </si>
  <si>
    <t>Эмильянович Денис</t>
  </si>
  <si>
    <t>1. Эмильянович Денис</t>
  </si>
  <si>
    <t>Юниоры 20 - 23 (18.06.1997)/22</t>
  </si>
  <si>
    <t>81,20</t>
  </si>
  <si>
    <t>Степанов Кирилл</t>
  </si>
  <si>
    <t>2. Степанов Кирилл</t>
  </si>
  <si>
    <t>Юниоры 20 - 23 (16.06.1998)/21</t>
  </si>
  <si>
    <t>79,60</t>
  </si>
  <si>
    <t xml:space="preserve">Степанов Кирилл Владиславович </t>
  </si>
  <si>
    <t>Добудько Дмитрий</t>
  </si>
  <si>
    <t>1. Добудько Дмитрий</t>
  </si>
  <si>
    <t>Открытая (07.10.1982)/37</t>
  </si>
  <si>
    <t>79,10</t>
  </si>
  <si>
    <t>162,5</t>
  </si>
  <si>
    <t>Старцев Игорь</t>
  </si>
  <si>
    <t>2. Старцев Игорь</t>
  </si>
  <si>
    <t>Открытая (14.03.1983)/36</t>
  </si>
  <si>
    <t>81,80</t>
  </si>
  <si>
    <t>Фурсов Константин</t>
  </si>
  <si>
    <t>3. Фурсов Константин</t>
  </si>
  <si>
    <t>Открытая (12.11.1983)/35</t>
  </si>
  <si>
    <t>79,70</t>
  </si>
  <si>
    <t>4. Лободин Алексей</t>
  </si>
  <si>
    <t>-. Батров Равиль</t>
  </si>
  <si>
    <t>Открытая (05.06.1989)/30</t>
  </si>
  <si>
    <t>82,50</t>
  </si>
  <si>
    <t xml:space="preserve">Сидельников М.А. </t>
  </si>
  <si>
    <t>Кузнецов Алексей</t>
  </si>
  <si>
    <t>1. Кузнецов Алексей</t>
  </si>
  <si>
    <t>Ветераны 40 - 44 (14.04.1979)/40</t>
  </si>
  <si>
    <t xml:space="preserve">Кузнецов АЛ </t>
  </si>
  <si>
    <t>Семенов Александр</t>
  </si>
  <si>
    <t>2. Семенов Александр</t>
  </si>
  <si>
    <t>Ветераны 40 - 44 (03.02.1977)/42</t>
  </si>
  <si>
    <t>81,40</t>
  </si>
  <si>
    <t>-. Парфенков Алексей</t>
  </si>
  <si>
    <t>Ветераны 40 - 44 (30.12.1976)/42</t>
  </si>
  <si>
    <t>82,20</t>
  </si>
  <si>
    <t>Кондрашев Сергей</t>
  </si>
  <si>
    <t>1. Кондрашев Сергей</t>
  </si>
  <si>
    <t>Ветераны 55 - 59 (16.09.1963)/56</t>
  </si>
  <si>
    <t xml:space="preserve">Одинцово/Московская область </t>
  </si>
  <si>
    <t>Хугаев Олег</t>
  </si>
  <si>
    <t>1. Хугаев Олег</t>
  </si>
  <si>
    <t>Юноши 15-19 (14.04.2000)/19</t>
  </si>
  <si>
    <t>83,60</t>
  </si>
  <si>
    <t>Ярец Александр</t>
  </si>
  <si>
    <t>1. Ярец Александр</t>
  </si>
  <si>
    <t>Открытая (29.02.1992)/27</t>
  </si>
  <si>
    <t>86,50</t>
  </si>
  <si>
    <t xml:space="preserve">Шатура/Московская область </t>
  </si>
  <si>
    <t>Ряжских Алексей</t>
  </si>
  <si>
    <t>2. Ряжских Алексей</t>
  </si>
  <si>
    <t>Открытая (15.09.1990)/29</t>
  </si>
  <si>
    <t>89,40</t>
  </si>
  <si>
    <t>Товпеко Роман</t>
  </si>
  <si>
    <t>3. Товпеко Роман</t>
  </si>
  <si>
    <t>Открытая (13.03.1981)/38</t>
  </si>
  <si>
    <t>89,90</t>
  </si>
  <si>
    <t xml:space="preserve">Товпеко Р.Н. </t>
  </si>
  <si>
    <t>-. Комиссаров Евгений</t>
  </si>
  <si>
    <t>Открытая (02.04.1991)/28</t>
  </si>
  <si>
    <t>87,00</t>
  </si>
  <si>
    <t xml:space="preserve">Виноградов В.В. </t>
  </si>
  <si>
    <t>Мизонов Никита</t>
  </si>
  <si>
    <t>1. Мизонов Никита</t>
  </si>
  <si>
    <t>Юниоры 20 - 23 (22.05.1999)/20</t>
  </si>
  <si>
    <t>94,80</t>
  </si>
  <si>
    <t xml:space="preserve">Кондаков А. </t>
  </si>
  <si>
    <t>Овчаров Сергей</t>
  </si>
  <si>
    <t>1. Овчаров Сергей</t>
  </si>
  <si>
    <t>Открытая (14.08.1979)/40</t>
  </si>
  <si>
    <t>94,10</t>
  </si>
  <si>
    <t>Тарасов Антон</t>
  </si>
  <si>
    <t>2. Тарасов Антон</t>
  </si>
  <si>
    <t>Открытая (09.11.1986)/32</t>
  </si>
  <si>
    <t>99,70</t>
  </si>
  <si>
    <t>Зотов Александр</t>
  </si>
  <si>
    <t>3. Зотов Александр</t>
  </si>
  <si>
    <t>Открытая (13.05.1986)/33</t>
  </si>
  <si>
    <t>97,40</t>
  </si>
  <si>
    <t xml:space="preserve">Кузнецов А.В. </t>
  </si>
  <si>
    <t>Ветераны 40 - 44 (14.08.1979)/40</t>
  </si>
  <si>
    <t>Максимов Сергей</t>
  </si>
  <si>
    <t>2. Максимов Сергей</t>
  </si>
  <si>
    <t>Ветераны 40 - 44 (15.09.1975)/44</t>
  </si>
  <si>
    <t>99,90</t>
  </si>
  <si>
    <t xml:space="preserve">Котов Алексей Вячеславович </t>
  </si>
  <si>
    <t>Брагин Андрей</t>
  </si>
  <si>
    <t>3. Брагин Андрей</t>
  </si>
  <si>
    <t>Ветераны 40 - 44 (07.05.1976)/43</t>
  </si>
  <si>
    <t>96,90</t>
  </si>
  <si>
    <t xml:space="preserve">Балугин Н.В. </t>
  </si>
  <si>
    <t>-. Башкевич Максим</t>
  </si>
  <si>
    <t>Ветераны 40 - 44 (02.09.1975)/44</t>
  </si>
  <si>
    <t>97,30</t>
  </si>
  <si>
    <t>Канищев Роман</t>
  </si>
  <si>
    <t>1. Канищев Роман</t>
  </si>
  <si>
    <t>Ветераны 45 - 49 (05.09.1973)/46</t>
  </si>
  <si>
    <t xml:space="preserve">Канищев Р.В. </t>
  </si>
  <si>
    <t>Смирнов Виталий</t>
  </si>
  <si>
    <t>1. Смирнов Виталий</t>
  </si>
  <si>
    <t>Открытая (24.05.1981)/38</t>
  </si>
  <si>
    <t>100,20</t>
  </si>
  <si>
    <t xml:space="preserve">Наро-Фоминск/Московская область </t>
  </si>
  <si>
    <t>Зюкин Максим</t>
  </si>
  <si>
    <t>2. Зюкин Максим</t>
  </si>
  <si>
    <t>Открытая (15.09.1985)/34</t>
  </si>
  <si>
    <t>107,40</t>
  </si>
  <si>
    <t xml:space="preserve">Алексеев А.В. </t>
  </si>
  <si>
    <t>-. Коваленко Олег</t>
  </si>
  <si>
    <t>Открытая (29.07.1985)/34</t>
  </si>
  <si>
    <t>104,70</t>
  </si>
  <si>
    <t>-. Мазурин Артем</t>
  </si>
  <si>
    <t>Открытая (29.06.1988)/31</t>
  </si>
  <si>
    <t>107,60</t>
  </si>
  <si>
    <t>Харабадзе Кирилл</t>
  </si>
  <si>
    <t>1. Харабадзе Кирилл</t>
  </si>
  <si>
    <t>Ветераны 45 - 49 (25.06.1972)/47</t>
  </si>
  <si>
    <t>108,00</t>
  </si>
  <si>
    <t>Кондратьев Валерий</t>
  </si>
  <si>
    <t>1. Кондратьев Валерий</t>
  </si>
  <si>
    <t>Ветераны 55 - 59 (15.01.1964)/55</t>
  </si>
  <si>
    <t>106,20</t>
  </si>
  <si>
    <t>Жигарев Олег</t>
  </si>
  <si>
    <t>1. Жигарев Олег</t>
  </si>
  <si>
    <t>Юниоры 20 - 23 (06.09.1997)/22</t>
  </si>
  <si>
    <t xml:space="preserve">Воскресенск/Московская область </t>
  </si>
  <si>
    <t>Хачатрян Георгий</t>
  </si>
  <si>
    <t>1. Хачатрян Георгий</t>
  </si>
  <si>
    <t>Открытая (23.07.1986)/33</t>
  </si>
  <si>
    <t>116,80</t>
  </si>
  <si>
    <t xml:space="preserve">Лосино-Петровский/Московская область </t>
  </si>
  <si>
    <t>Селезнев Владимир</t>
  </si>
  <si>
    <t>2. Селезнев Владимир</t>
  </si>
  <si>
    <t>Открытая (09.05.1977)/42</t>
  </si>
  <si>
    <t>1. Селезнев Владимир</t>
  </si>
  <si>
    <t>Ветераны 40 - 44 (09.05.1977)/42</t>
  </si>
  <si>
    <t>Чубаров Владимир</t>
  </si>
  <si>
    <t>1. Чубаров Владимир</t>
  </si>
  <si>
    <t>Ветераны 55 - 59 (03.04.1964)/55</t>
  </si>
  <si>
    <t>124,20</t>
  </si>
  <si>
    <t>Филатов Артем</t>
  </si>
  <si>
    <t>1. Филатов Артем</t>
  </si>
  <si>
    <t>Открытая (26.09.1986)/33</t>
  </si>
  <si>
    <t>136,70</t>
  </si>
  <si>
    <t>Каныгин Сергей</t>
  </si>
  <si>
    <t>1. Каныгин Сергей</t>
  </si>
  <si>
    <t>Ветераны 50 - 54 (24.01.1966)/53</t>
  </si>
  <si>
    <t>139,20</t>
  </si>
  <si>
    <t>ВЕСОВАЯ КАТЕГОРИЯ   140+</t>
  </si>
  <si>
    <t>Открытая (10.04.1989)/30</t>
  </si>
  <si>
    <t>154,50</t>
  </si>
  <si>
    <t>74,9063</t>
  </si>
  <si>
    <t>71,2563</t>
  </si>
  <si>
    <t>70,4970</t>
  </si>
  <si>
    <t>69,5310</t>
  </si>
  <si>
    <t>38,7270</t>
  </si>
  <si>
    <t>33,1100</t>
  </si>
  <si>
    <t>75,1908</t>
  </si>
  <si>
    <t>73,8835</t>
  </si>
  <si>
    <t>70,5960</t>
  </si>
  <si>
    <t>67,0016</t>
  </si>
  <si>
    <t>77,3755</t>
  </si>
  <si>
    <t>73,0842</t>
  </si>
  <si>
    <t>69,7935</t>
  </si>
  <si>
    <t>57,9920</t>
  </si>
  <si>
    <t>103,1510</t>
  </si>
  <si>
    <t>102,7350</t>
  </si>
  <si>
    <t>88,7220</t>
  </si>
  <si>
    <t>82,4945</t>
  </si>
  <si>
    <t>140+</t>
  </si>
  <si>
    <t>115,5695</t>
  </si>
  <si>
    <t>111,7350</t>
  </si>
  <si>
    <t>107,5635</t>
  </si>
  <si>
    <t>107,0595</t>
  </si>
  <si>
    <t>106,4175</t>
  </si>
  <si>
    <t>105,1970</t>
  </si>
  <si>
    <t>104,3770</t>
  </si>
  <si>
    <t>103,5810</t>
  </si>
  <si>
    <t>103,0320</t>
  </si>
  <si>
    <t>101,5080</t>
  </si>
  <si>
    <t>100,8100</t>
  </si>
  <si>
    <t>98,3400</t>
  </si>
  <si>
    <t>92,5485</t>
  </si>
  <si>
    <t>91,2855</t>
  </si>
  <si>
    <t>91,0290</t>
  </si>
  <si>
    <t>88,9590</t>
  </si>
  <si>
    <t>88,5430</t>
  </si>
  <si>
    <t>87,3470</t>
  </si>
  <si>
    <t>86,3160</t>
  </si>
  <si>
    <t>74,8230</t>
  </si>
  <si>
    <t>129,1312</t>
  </si>
  <si>
    <t>122,3224</t>
  </si>
  <si>
    <t>109,3680</t>
  </si>
  <si>
    <t>107,9463</t>
  </si>
  <si>
    <t>105,6719</t>
  </si>
  <si>
    <t>105,1157</t>
  </si>
  <si>
    <t>105,0926</t>
  </si>
  <si>
    <t>102,3921</t>
  </si>
  <si>
    <t>99,6927</t>
  </si>
  <si>
    <t>98,0780</t>
  </si>
  <si>
    <t>95,3572</t>
  </si>
  <si>
    <t>91,2803</t>
  </si>
  <si>
    <t>89,9739</t>
  </si>
  <si>
    <t>Подгорнова Арина</t>
  </si>
  <si>
    <t>1. Подгорнова Арина</t>
  </si>
  <si>
    <t>Девушки 15-19 (11.03.2002)/17</t>
  </si>
  <si>
    <t>61,90</t>
  </si>
  <si>
    <t>Ларионов Артем</t>
  </si>
  <si>
    <t>1. Ларионов Артем</t>
  </si>
  <si>
    <t>Открытая (14.05.1978)/41</t>
  </si>
  <si>
    <t xml:space="preserve">Котов А.В. </t>
  </si>
  <si>
    <t>Игнатов Андрей</t>
  </si>
  <si>
    <t>1. Игнатов Андрей</t>
  </si>
  <si>
    <t>Открытая (22.02.1992)/27</t>
  </si>
  <si>
    <t xml:space="preserve">Егорьевск/Московская область </t>
  </si>
  <si>
    <t>Литовский Михаил</t>
  </si>
  <si>
    <t>1. Литовский Михаил</t>
  </si>
  <si>
    <t>Открытая (16.01.1993)/26</t>
  </si>
  <si>
    <t>103,40</t>
  </si>
  <si>
    <t xml:space="preserve">Илья Ушков </t>
  </si>
  <si>
    <t>Ярлыков Михаил</t>
  </si>
  <si>
    <t>2. Ярлыков Михаил</t>
  </si>
  <si>
    <t>Открытая (22.02.1989)/30</t>
  </si>
  <si>
    <t>107,90</t>
  </si>
  <si>
    <t>84,3510</t>
  </si>
  <si>
    <t>147,3360</t>
  </si>
  <si>
    <t>146,6160</t>
  </si>
  <si>
    <t>108,1620</t>
  </si>
  <si>
    <t>106,5780</t>
  </si>
  <si>
    <t>Сафарова Наталья</t>
  </si>
  <si>
    <t>1. Сафарова Наталья</t>
  </si>
  <si>
    <t>Открытая (03.05.1988)/31</t>
  </si>
  <si>
    <t>Логинов Матвей</t>
  </si>
  <si>
    <t>1. Логинов Матвей</t>
  </si>
  <si>
    <t>Юноши 15-19 (02.03.2003)/16</t>
  </si>
  <si>
    <t>58,80</t>
  </si>
  <si>
    <t>Гаджиахмедов Далгат</t>
  </si>
  <si>
    <t>1. Гаджиахмедов Далгат</t>
  </si>
  <si>
    <t>Открытая (18.06.1987)/32</t>
  </si>
  <si>
    <t>74,70</t>
  </si>
  <si>
    <t xml:space="preserve">Санкт-Петербург/ </t>
  </si>
  <si>
    <t>Лихолай Александр</t>
  </si>
  <si>
    <t>1. Лихолай Александр</t>
  </si>
  <si>
    <t>Ветераны 80+ (22.02.1939)/80</t>
  </si>
  <si>
    <t>74,20</t>
  </si>
  <si>
    <t xml:space="preserve">Лихолай А. В. </t>
  </si>
  <si>
    <t>Елисеев Павел</t>
  </si>
  <si>
    <t>1. Елисеев Павел</t>
  </si>
  <si>
    <t>Открытая (29.01.1986)/33</t>
  </si>
  <si>
    <t>76,80</t>
  </si>
  <si>
    <t>Сергеев Александр</t>
  </si>
  <si>
    <t>2. Сергеев Александр</t>
  </si>
  <si>
    <t>Открытая (18.08.1984)/35</t>
  </si>
  <si>
    <t xml:space="preserve">Сергеев А.В. </t>
  </si>
  <si>
    <t>1. Сапунков Константин</t>
  </si>
  <si>
    <t>Новиков Андрей</t>
  </si>
  <si>
    <t>1. Новиков Андрей</t>
  </si>
  <si>
    <t>Открытая (30.07.1987)/32</t>
  </si>
  <si>
    <t>105,80</t>
  </si>
  <si>
    <t>282,5</t>
  </si>
  <si>
    <t>1. Маркин Николай</t>
  </si>
  <si>
    <t>Кирюшкин Вадим</t>
  </si>
  <si>
    <t>1. Кирюшкин Вадим</t>
  </si>
  <si>
    <t>Ветераны 40 - 44 (13.01.1976)/43</t>
  </si>
  <si>
    <t>132,00</t>
  </si>
  <si>
    <t>180,7660</t>
  </si>
  <si>
    <t>99,9235</t>
  </si>
  <si>
    <t>178,8000</t>
  </si>
  <si>
    <t>178,7805</t>
  </si>
  <si>
    <t>171,5040</t>
  </si>
  <si>
    <t>154,5480</t>
  </si>
  <si>
    <t>152,0775</t>
  </si>
  <si>
    <t>150,5280</t>
  </si>
  <si>
    <t>175,9301</t>
  </si>
  <si>
    <t xml:space="preserve">Ветераны 80+ </t>
  </si>
  <si>
    <t>169,2449</t>
  </si>
  <si>
    <t>182,4145</t>
  </si>
  <si>
    <t>1. Забодаева Виктория</t>
  </si>
  <si>
    <t>Староверова Виктория</t>
  </si>
  <si>
    <t>1. Староверова Виктория</t>
  </si>
  <si>
    <t>Юниорки 20 - 23 (02.08.1996)/23</t>
  </si>
  <si>
    <t>54,90</t>
  </si>
  <si>
    <t>-. Петропавлова Мария</t>
  </si>
  <si>
    <t>Открытая (30.06.1994)/25</t>
  </si>
  <si>
    <t>55,00</t>
  </si>
  <si>
    <t xml:space="preserve">Гущин С. А. </t>
  </si>
  <si>
    <t>Баринова Полина</t>
  </si>
  <si>
    <t>1. Баринова Полина</t>
  </si>
  <si>
    <t>Юниорки 20 - 23 (15.11.1998)/20</t>
  </si>
  <si>
    <t>58,70</t>
  </si>
  <si>
    <t xml:space="preserve">Бойко Ю.М. </t>
  </si>
  <si>
    <t>Белова Юлия</t>
  </si>
  <si>
    <t>1. Белова Юлия</t>
  </si>
  <si>
    <t>Открытая (02.04.1988)/31</t>
  </si>
  <si>
    <t xml:space="preserve">Белова Ю.В, </t>
  </si>
  <si>
    <t>Старова Олеся</t>
  </si>
  <si>
    <t>1. Старова Олеся</t>
  </si>
  <si>
    <t>Девушки 15-19 (29.09.2000)/19</t>
  </si>
  <si>
    <t>80,50</t>
  </si>
  <si>
    <t xml:space="preserve">Старов Д.А. </t>
  </si>
  <si>
    <t>Каширин Сергей</t>
  </si>
  <si>
    <t>1. Каширин Сергей</t>
  </si>
  <si>
    <t>Открытая (06.11.1983)/35</t>
  </si>
  <si>
    <t xml:space="preserve">Каширин С.С. </t>
  </si>
  <si>
    <t>Барковский Павел</t>
  </si>
  <si>
    <t>2. Барковский Павел</t>
  </si>
  <si>
    <t>Открытая (23.07.1988)/31</t>
  </si>
  <si>
    <t xml:space="preserve">Барковский П. А. </t>
  </si>
  <si>
    <t>3. Гурьянов Сергей</t>
  </si>
  <si>
    <t>Жевтунов Владимир</t>
  </si>
  <si>
    <t>4. Жевтунов Владимир</t>
  </si>
  <si>
    <t>Открытая (11.05.1988)/31</t>
  </si>
  <si>
    <t xml:space="preserve">Морозов Н.О. </t>
  </si>
  <si>
    <t>Анточ Михаил</t>
  </si>
  <si>
    <t>1. Анточ Михаил</t>
  </si>
  <si>
    <t>Открытая (26.10.1992)/26</t>
  </si>
  <si>
    <t>82,30</t>
  </si>
  <si>
    <t xml:space="preserve">Апрелевка/Московская область </t>
  </si>
  <si>
    <t>3. Лободин Алексей</t>
  </si>
  <si>
    <t>Гвоздев Алексей</t>
  </si>
  <si>
    <t>1. Гвоздев Алексей</t>
  </si>
  <si>
    <t>Ветераны 45 - 49 (27.03.1972)/47</t>
  </si>
  <si>
    <t>Горновой Андрей</t>
  </si>
  <si>
    <t>1. Горновой Андрей</t>
  </si>
  <si>
    <t>Юноши 15-19 (15.12.2002)/16</t>
  </si>
  <si>
    <t>87,20</t>
  </si>
  <si>
    <t>Неклюдов Андрей</t>
  </si>
  <si>
    <t>1. Неклюдов Андрей</t>
  </si>
  <si>
    <t>Юниоры 20 - 23 (24.11.1996)/22</t>
  </si>
  <si>
    <t>83,40</t>
  </si>
  <si>
    <t xml:space="preserve">Турков В.В. </t>
  </si>
  <si>
    <t>Алиев Эльнур</t>
  </si>
  <si>
    <t>2. Алиев Эльнур</t>
  </si>
  <si>
    <t>Открытая (09.03.1982)/37</t>
  </si>
  <si>
    <t>88,50</t>
  </si>
  <si>
    <t xml:space="preserve">Лазарев В.В. </t>
  </si>
  <si>
    <t>Семенченко Евгений</t>
  </si>
  <si>
    <t>3. Семенченко Евгений</t>
  </si>
  <si>
    <t>Открытая (16.12.1984)/34</t>
  </si>
  <si>
    <t>88,40</t>
  </si>
  <si>
    <t xml:space="preserve">Брянск/Брянская область </t>
  </si>
  <si>
    <t xml:space="preserve">Свиридов </t>
  </si>
  <si>
    <t>-. Ломанов Кирилл</t>
  </si>
  <si>
    <t>Открытая (15.07.1987)/32</t>
  </si>
  <si>
    <t>Качаев Иван</t>
  </si>
  <si>
    <t>1. Качаев Иван</t>
  </si>
  <si>
    <t>Юниоры 20 - 23 (05.11.1996)/22</t>
  </si>
  <si>
    <t>95,20</t>
  </si>
  <si>
    <t xml:space="preserve">Лазариди Г.К. </t>
  </si>
  <si>
    <t>Моисеев Роман</t>
  </si>
  <si>
    <t>1. Моисеев Роман</t>
  </si>
  <si>
    <t>Открытая (27.11.1990)/28</t>
  </si>
  <si>
    <t xml:space="preserve">Московская </t>
  </si>
  <si>
    <t>Шляхитский Александр</t>
  </si>
  <si>
    <t>2. Шляхитский Александр</t>
  </si>
  <si>
    <t>Открытая (09.02.1980)/39</t>
  </si>
  <si>
    <t>98,20</t>
  </si>
  <si>
    <t xml:space="preserve">Новомосковск/Тульская область </t>
  </si>
  <si>
    <t xml:space="preserve">Шляхитский Александр </t>
  </si>
  <si>
    <t>Богачев Иван</t>
  </si>
  <si>
    <t>3. Богачев Иван</t>
  </si>
  <si>
    <t>Открытая (08.06.1978)/41</t>
  </si>
  <si>
    <t>242,5</t>
  </si>
  <si>
    <t xml:space="preserve">Лазарев В. </t>
  </si>
  <si>
    <t>1. Богачев Иван</t>
  </si>
  <si>
    <t>Ветераны 40 - 44 (08.06.1978)/41</t>
  </si>
  <si>
    <t>Никишин Сергей</t>
  </si>
  <si>
    <t>1. Никишин Сергей</t>
  </si>
  <si>
    <t>Ветераны 45 - 49 (05.07.1971)/48</t>
  </si>
  <si>
    <t xml:space="preserve">Чидингов П.Д. </t>
  </si>
  <si>
    <t>Коваленко Алексей</t>
  </si>
  <si>
    <t>2. Коваленко Алексей</t>
  </si>
  <si>
    <t>Ветераны 45 - 49 (07.01.1972)/47</t>
  </si>
  <si>
    <t>99,30</t>
  </si>
  <si>
    <t>Михайленко Владислав</t>
  </si>
  <si>
    <t>3. Михайленко Владислав</t>
  </si>
  <si>
    <t>Ветераны 45 - 49 (27.01.1973)/46</t>
  </si>
  <si>
    <t>Гапошко Андрей</t>
  </si>
  <si>
    <t>1. Гапошко Андрей</t>
  </si>
  <si>
    <t>Открытая (11.04.1986)/33</t>
  </si>
  <si>
    <t>111,70</t>
  </si>
  <si>
    <t>Дьячев Андрей</t>
  </si>
  <si>
    <t>2. Дьячев Андрей</t>
  </si>
  <si>
    <t>Открытая (15.04.1984)/35</t>
  </si>
  <si>
    <t>110,90</t>
  </si>
  <si>
    <t xml:space="preserve">Шумский С.Ю. </t>
  </si>
  <si>
    <t>Скачков Дмитрий</t>
  </si>
  <si>
    <t>1. Скачков Дмитрий</t>
  </si>
  <si>
    <t>Ветераны 40 - 44 (22.02.1977)/42</t>
  </si>
  <si>
    <t>146,20</t>
  </si>
  <si>
    <t>292,5</t>
  </si>
  <si>
    <t xml:space="preserve">Иванкин Д.Н. </t>
  </si>
  <si>
    <t>127,6660</t>
  </si>
  <si>
    <t>147,4200</t>
  </si>
  <si>
    <t>128,4625</t>
  </si>
  <si>
    <t>176,7788</t>
  </si>
  <si>
    <t>133,0688</t>
  </si>
  <si>
    <t>85,3950</t>
  </si>
  <si>
    <t>72,8420</t>
  </si>
  <si>
    <t>158,8410</t>
  </si>
  <si>
    <t>108,7350</t>
  </si>
  <si>
    <t>87,6285</t>
  </si>
  <si>
    <t>136,7080</t>
  </si>
  <si>
    <t>129,7920</t>
  </si>
  <si>
    <t>176,1112</t>
  </si>
  <si>
    <t>175,4740</t>
  </si>
  <si>
    <t>164,7505</t>
  </si>
  <si>
    <t>159,4060</t>
  </si>
  <si>
    <t>156,9500</t>
  </si>
  <si>
    <t>152,3080</t>
  </si>
  <si>
    <t>150,4168</t>
  </si>
  <si>
    <t>147,3972</t>
  </si>
  <si>
    <t>146,7500</t>
  </si>
  <si>
    <t>144,5720</t>
  </si>
  <si>
    <t>141,6800</t>
  </si>
  <si>
    <t>129,4740</t>
  </si>
  <si>
    <t>125,9812</t>
  </si>
  <si>
    <t>115,9920</t>
  </si>
  <si>
    <t>115,6480</t>
  </si>
  <si>
    <t>165,6738</t>
  </si>
  <si>
    <t>159,9391</t>
  </si>
  <si>
    <t>154,0605</t>
  </si>
  <si>
    <t>150,3452</t>
  </si>
  <si>
    <t>146,0177</t>
  </si>
  <si>
    <t>143,6250</t>
  </si>
  <si>
    <t>123,7000</t>
  </si>
  <si>
    <t>Панков Николай</t>
  </si>
  <si>
    <t>1. Панков Николай</t>
  </si>
  <si>
    <t>Юниоры 20 - 23 (17.07.1996)/23</t>
  </si>
  <si>
    <t>106,80</t>
  </si>
  <si>
    <t>148,5250</t>
  </si>
  <si>
    <t>184,9230</t>
  </si>
  <si>
    <t>Греков Максим</t>
  </si>
  <si>
    <t>190,1400</t>
  </si>
  <si>
    <t>Желудев Виталий</t>
  </si>
  <si>
    <t>192,6340</t>
  </si>
  <si>
    <t>Ананьин Алексей</t>
  </si>
  <si>
    <t>194,9640</t>
  </si>
  <si>
    <t>Горшков Евгений</t>
  </si>
  <si>
    <t>199,9845</t>
  </si>
  <si>
    <t>Кофи Каблан</t>
  </si>
  <si>
    <t>201,7220</t>
  </si>
  <si>
    <t>340,0</t>
  </si>
  <si>
    <t>Матико Богдан</t>
  </si>
  <si>
    <t>203,0413</t>
  </si>
  <si>
    <t>317,5</t>
  </si>
  <si>
    <t>204,5160</t>
  </si>
  <si>
    <t>Курмей Денис</t>
  </si>
  <si>
    <t>210,6152</t>
  </si>
  <si>
    <t>Попов Максим</t>
  </si>
  <si>
    <t>212,1700</t>
  </si>
  <si>
    <t>350,0</t>
  </si>
  <si>
    <t>Гущин Сергей</t>
  </si>
  <si>
    <t>213,8760</t>
  </si>
  <si>
    <t>360,0</t>
  </si>
  <si>
    <t>Ахлестин Сергей</t>
  </si>
  <si>
    <t>215,1180</t>
  </si>
  <si>
    <t>380,0</t>
  </si>
  <si>
    <t>Луговой Александр</t>
  </si>
  <si>
    <t>218,1200</t>
  </si>
  <si>
    <t>Кравченко Евгений</t>
  </si>
  <si>
    <t>218,4840</t>
  </si>
  <si>
    <t>Ким Михаил</t>
  </si>
  <si>
    <t>220,0472</t>
  </si>
  <si>
    <t>327,5</t>
  </si>
  <si>
    <t>Зубков Павел</t>
  </si>
  <si>
    <t>226,6320</t>
  </si>
  <si>
    <t>Федоров Илья</t>
  </si>
  <si>
    <t>244,6960</t>
  </si>
  <si>
    <t>365,0</t>
  </si>
  <si>
    <t>Насонов Дмитрий</t>
  </si>
  <si>
    <t xml:space="preserve">Сенькин В.В. </t>
  </si>
  <si>
    <t>427,5</t>
  </si>
  <si>
    <t>130,30</t>
  </si>
  <si>
    <t>Открытая (23.10.1984)/34</t>
  </si>
  <si>
    <t>-. Морозов Константин</t>
  </si>
  <si>
    <t xml:space="preserve">Белкин Ю.В. </t>
  </si>
  <si>
    <t>400,0</t>
  </si>
  <si>
    <t>129,40</t>
  </si>
  <si>
    <t>Открытая (28.10.1995)/23</t>
  </si>
  <si>
    <t>1. Луговой Александр</t>
  </si>
  <si>
    <t>370,0</t>
  </si>
  <si>
    <t xml:space="preserve">Нижний Новгород/Нижегородская </t>
  </si>
  <si>
    <t>124,60</t>
  </si>
  <si>
    <t>Открытая (19.10.1984)/35</t>
  </si>
  <si>
    <t>-. Марченко Владимир</t>
  </si>
  <si>
    <t>330,0</t>
  </si>
  <si>
    <t>107,20</t>
  </si>
  <si>
    <t>Открытая (03.06.1992)/27</t>
  </si>
  <si>
    <t>5. Матико Богдан</t>
  </si>
  <si>
    <t xml:space="preserve">Трубичкин Я.О. </t>
  </si>
  <si>
    <t xml:space="preserve">Руза/Московская область </t>
  </si>
  <si>
    <t>Открытая (21.10.1987)/31</t>
  </si>
  <si>
    <t>4. Курмей Денис</t>
  </si>
  <si>
    <t>410,0</t>
  </si>
  <si>
    <t>101,00</t>
  </si>
  <si>
    <t>Открытая (15.11.1974)/44</t>
  </si>
  <si>
    <t>3. Гущин Сергей</t>
  </si>
  <si>
    <t xml:space="preserve">Андреев В.В. </t>
  </si>
  <si>
    <t xml:space="preserve">Саратовская </t>
  </si>
  <si>
    <t>Открытая (15.09.1989)/30</t>
  </si>
  <si>
    <t>2. Ахлестин Сергей</t>
  </si>
  <si>
    <t>385,0</t>
  </si>
  <si>
    <t>100,70</t>
  </si>
  <si>
    <t>Открытая (20.06.1980)/39</t>
  </si>
  <si>
    <t>1. Ким Михаил</t>
  </si>
  <si>
    <t>98,90</t>
  </si>
  <si>
    <t>Открытая (13.07.1993)/26</t>
  </si>
  <si>
    <t>-. Карпович Максим</t>
  </si>
  <si>
    <t xml:space="preserve">Баку/ </t>
  </si>
  <si>
    <t>93,60</t>
  </si>
  <si>
    <t>Открытая (04.03.1990)/29</t>
  </si>
  <si>
    <t>-. Вердиев Хафиз</t>
  </si>
  <si>
    <t xml:space="preserve">Евдокушин С.П. </t>
  </si>
  <si>
    <t>Открытая (09.02.1985)/34</t>
  </si>
  <si>
    <t>3. Желудев Виталий</t>
  </si>
  <si>
    <t>Открытая (28.09.1976)/43</t>
  </si>
  <si>
    <t>2. Ананьин Алексей</t>
  </si>
  <si>
    <t>375,0</t>
  </si>
  <si>
    <t xml:space="preserve">Нижневартовск/Ханты-Мансийский АО </t>
  </si>
  <si>
    <t>94,60</t>
  </si>
  <si>
    <t>Открытая (03.11.1986)/32</t>
  </si>
  <si>
    <t>1. Кравченко Евгений</t>
  </si>
  <si>
    <t xml:space="preserve">Бабин В.Н. </t>
  </si>
  <si>
    <t>347,5</t>
  </si>
  <si>
    <t xml:space="preserve">Трехгорный/Челябинская </t>
  </si>
  <si>
    <t>86,40</t>
  </si>
  <si>
    <t>Открытая (09.08.1992)/27</t>
  </si>
  <si>
    <t>-. Бабин Владимир</t>
  </si>
  <si>
    <t xml:space="preserve">Максимов С.А. </t>
  </si>
  <si>
    <t>89,70</t>
  </si>
  <si>
    <t>Открытая (26.07.1989)/30</t>
  </si>
  <si>
    <t xml:space="preserve">Бунтов Д.В. </t>
  </si>
  <si>
    <t>90,00</t>
  </si>
  <si>
    <t>Открытая (29.08.1992)/27</t>
  </si>
  <si>
    <t>1. Федоров Илья</t>
  </si>
  <si>
    <t xml:space="preserve">Максимов С. </t>
  </si>
  <si>
    <t>Открытая (02.12.1989)/29</t>
  </si>
  <si>
    <t>-. Григорян Арам</t>
  </si>
  <si>
    <t xml:space="preserve">Первомайский/Кабардино-Балкарская республика </t>
  </si>
  <si>
    <t>Открытая (09.09.1985)/34</t>
  </si>
  <si>
    <t>5. Греков Максим</t>
  </si>
  <si>
    <t xml:space="preserve">Сафоново/Смоленская область </t>
  </si>
  <si>
    <t>77,60</t>
  </si>
  <si>
    <t>Открытая (13.11.1981)/37</t>
  </si>
  <si>
    <t>4. Горшков Евгений</t>
  </si>
  <si>
    <t>76,70</t>
  </si>
  <si>
    <t>Открытая (15.03.1994)/25</t>
  </si>
  <si>
    <t>3. Кофи Каблан</t>
  </si>
  <si>
    <t xml:space="preserve">Чаплыгин/Липецкая область </t>
  </si>
  <si>
    <t>Открытая (22.12.1985)/33</t>
  </si>
  <si>
    <t>2. Зубков Павел</t>
  </si>
  <si>
    <t xml:space="preserve">Сон О.Г. </t>
  </si>
  <si>
    <t xml:space="preserve">Воронеж/Воронежская область </t>
  </si>
  <si>
    <t>82,40</t>
  </si>
  <si>
    <t>Открытая (13.02.1992)/27</t>
  </si>
  <si>
    <t>1. Насонов Дмитрий</t>
  </si>
  <si>
    <t xml:space="preserve">Понамарев С. </t>
  </si>
  <si>
    <t>280,5</t>
  </si>
  <si>
    <t>67,30</t>
  </si>
  <si>
    <t>Открытая (03.09.1984)/35</t>
  </si>
  <si>
    <t>1. Попов Максим</t>
  </si>
  <si>
    <t>Лысов Г. Теряев А.</t>
  </si>
  <si>
    <t>Gloss</t>
  </si>
  <si>
    <t>Народный жим</t>
  </si>
  <si>
    <t>Тоннаж</t>
  </si>
  <si>
    <t>Вес</t>
  </si>
  <si>
    <t>Повторы</t>
  </si>
  <si>
    <t>1. Петропавлова Мария</t>
  </si>
  <si>
    <t>27,5</t>
  </si>
  <si>
    <t>27,0</t>
  </si>
  <si>
    <t xml:space="preserve">Gloss </t>
  </si>
  <si>
    <t>Петропавлова Мария</t>
  </si>
  <si>
    <t>742,5</t>
  </si>
  <si>
    <t>786,3818</t>
  </si>
  <si>
    <t>1. Баловнева Яна</t>
  </si>
  <si>
    <t>Открытая (10.06.1988)/31</t>
  </si>
  <si>
    <t>42,50</t>
  </si>
  <si>
    <t>1. Заболотников Иван</t>
  </si>
  <si>
    <t>Открытая (17.06.1979)/40</t>
  </si>
  <si>
    <t>63,70</t>
  </si>
  <si>
    <t xml:space="preserve">Королёв/Московская область </t>
  </si>
  <si>
    <t>118,0</t>
  </si>
  <si>
    <t xml:space="preserve">Никулин Е. </t>
  </si>
  <si>
    <t>Мастера 40 - 49 (17.06.1979)/40</t>
  </si>
  <si>
    <t>2. Ложешников Сергей</t>
  </si>
  <si>
    <t>Мастера 40 - 49 (09.07.1978)/41</t>
  </si>
  <si>
    <t>38,0</t>
  </si>
  <si>
    <t>1. Мишин Николай</t>
  </si>
  <si>
    <t>Открытая (22.08.1982)/37</t>
  </si>
  <si>
    <t>71,80</t>
  </si>
  <si>
    <t>48,0</t>
  </si>
  <si>
    <t xml:space="preserve">Воронин Е.А. </t>
  </si>
  <si>
    <t>2. Гусев Илья</t>
  </si>
  <si>
    <t>Открытая (05.11.1984)/34</t>
  </si>
  <si>
    <t>69,90</t>
  </si>
  <si>
    <t xml:space="preserve">Тверь/Тверская область </t>
  </si>
  <si>
    <t>42,0</t>
  </si>
  <si>
    <t>3. Леонов Андрей</t>
  </si>
  <si>
    <t>Открытая (12.10.1980)/39</t>
  </si>
  <si>
    <t>69,60</t>
  </si>
  <si>
    <t>26,0</t>
  </si>
  <si>
    <t>1. Каземиров Владимир</t>
  </si>
  <si>
    <t>Открытая (28.09.1986)/33</t>
  </si>
  <si>
    <t>32,0</t>
  </si>
  <si>
    <t>1. Калинин Сергей</t>
  </si>
  <si>
    <t>Мастера 40 - 49 (19.11.1975)/43</t>
  </si>
  <si>
    <t>76,20</t>
  </si>
  <si>
    <t xml:space="preserve">Калинин Сергей Иванович </t>
  </si>
  <si>
    <t>1. Кушинас Русланас</t>
  </si>
  <si>
    <t>Мастера 50 - 59 (23.08.1969)/50</t>
  </si>
  <si>
    <t>76,40</t>
  </si>
  <si>
    <t>29,0</t>
  </si>
  <si>
    <t xml:space="preserve">Кушинас Р. </t>
  </si>
  <si>
    <t>1. Медведев Константин</t>
  </si>
  <si>
    <t>Юниоры 20 - 23 (03.06.1997)/22</t>
  </si>
  <si>
    <t>33,0</t>
  </si>
  <si>
    <t xml:space="preserve">Медведева Е. </t>
  </si>
  <si>
    <t>1. Мищенко Артем</t>
  </si>
  <si>
    <t>Открытая (26.06.1984)/35</t>
  </si>
  <si>
    <t>28,0</t>
  </si>
  <si>
    <t xml:space="preserve">Чокаев У. </t>
  </si>
  <si>
    <t>16,0</t>
  </si>
  <si>
    <t>1. Полунин Игорь</t>
  </si>
  <si>
    <t>Мастера 50 - 59 (15.01.1966)/53</t>
  </si>
  <si>
    <t>84,40</t>
  </si>
  <si>
    <t>18,0</t>
  </si>
  <si>
    <t xml:space="preserve">Полунин И.В. </t>
  </si>
  <si>
    <t>Баловнева Яна</t>
  </si>
  <si>
    <t>1275,0</t>
  </si>
  <si>
    <t>1643,9850</t>
  </si>
  <si>
    <t>Медведев Константин</t>
  </si>
  <si>
    <t>2805,0</t>
  </si>
  <si>
    <t>1794,2182</t>
  </si>
  <si>
    <t>Заболотников Иван</t>
  </si>
  <si>
    <t>7670,0</t>
  </si>
  <si>
    <t>6039,3581</t>
  </si>
  <si>
    <t>Мишин Николай</t>
  </si>
  <si>
    <t>3480,0</t>
  </si>
  <si>
    <t>2476,7161</t>
  </si>
  <si>
    <t>Гусев Илья</t>
  </si>
  <si>
    <t>2940,0</t>
  </si>
  <si>
    <t>2137,6740</t>
  </si>
  <si>
    <t>Каземиров Владимир</t>
  </si>
  <si>
    <t>2640,0</t>
  </si>
  <si>
    <t>1701,7439</t>
  </si>
  <si>
    <t>Мищенко Артем</t>
  </si>
  <si>
    <t>2520,0</t>
  </si>
  <si>
    <t>1551,5640</t>
  </si>
  <si>
    <t>Леонов Андрей</t>
  </si>
  <si>
    <t>1820,0</t>
  </si>
  <si>
    <t>1327,9630</t>
  </si>
  <si>
    <t>1440,0</t>
  </si>
  <si>
    <t>884,3760</t>
  </si>
  <si>
    <t xml:space="preserve">Мастера </t>
  </si>
  <si>
    <t xml:space="preserve">Мастера 40 - 49 </t>
  </si>
  <si>
    <t>Ложешников Сергей</t>
  </si>
  <si>
    <t>2470,0</t>
  </si>
  <si>
    <t>1942,3734</t>
  </si>
  <si>
    <t>Кушинас Русланас</t>
  </si>
  <si>
    <t xml:space="preserve">Мастера 50 - 59 </t>
  </si>
  <si>
    <t>2247,5</t>
  </si>
  <si>
    <t>1725,2013</t>
  </si>
  <si>
    <t>Калинин Сергей</t>
  </si>
  <si>
    <t>2325,0</t>
  </si>
  <si>
    <t>1631,3293</t>
  </si>
  <si>
    <t>Полунин Игорь</t>
  </si>
  <si>
    <t>1530,0</t>
  </si>
  <si>
    <t>1151,0398</t>
  </si>
  <si>
    <t>1. Озеров Антон</t>
  </si>
  <si>
    <t>Открытая (05.03.1987)/32</t>
  </si>
  <si>
    <t>1. Меженин Иван</t>
  </si>
  <si>
    <t>Открытая (08.01.1973)/46</t>
  </si>
  <si>
    <t>46,0</t>
  </si>
  <si>
    <t xml:space="preserve">Алексеев В. </t>
  </si>
  <si>
    <t>Мастера 40 - 49 (08.01.1973)/46</t>
  </si>
  <si>
    <t>1. Рассказов Геннадий</t>
  </si>
  <si>
    <t>Открытая (04.09.1966)/53</t>
  </si>
  <si>
    <t>92,20</t>
  </si>
  <si>
    <t xml:space="preserve">Ларионов С. М. </t>
  </si>
  <si>
    <t>1. Арсенин Роман</t>
  </si>
  <si>
    <t>Открытая (25.05.1987)/32</t>
  </si>
  <si>
    <t>111,90</t>
  </si>
  <si>
    <t>Меженин Иван</t>
  </si>
  <si>
    <t>4140,0</t>
  </si>
  <si>
    <t>2552,1030</t>
  </si>
  <si>
    <t>Рассказов Геннадий</t>
  </si>
  <si>
    <t>4162,5</t>
  </si>
  <si>
    <t>2514,1499</t>
  </si>
  <si>
    <t>Озеров Антон</t>
  </si>
  <si>
    <t>2722,5</t>
  </si>
  <si>
    <t>1770,3057</t>
  </si>
  <si>
    <t>Арсенин Роман</t>
  </si>
  <si>
    <t>3037,5</t>
  </si>
  <si>
    <t>1700,6962</t>
  </si>
  <si>
    <t>2725,6461</t>
  </si>
  <si>
    <t>Открытый Всероссийский Турнир WPF "Продвижение 2019"
WPF AM Становая тяга в Однослойной экипировке
Москва, 20 октября 2019 г.</t>
  </si>
  <si>
    <t>Открытый Всероссийский Турнир WPF "Продвижение 2019"
WPF AM Становая тяга Безэкипировочная
Москва, 20 октября 2019 г.</t>
  </si>
  <si>
    <t>Открытый Всероссийский Турнир WPF "Продвижение 2019"
WPF PRO Становая тяга в Однослойной экипировке
Москва, 20 октября 2019 г.</t>
  </si>
  <si>
    <t>Открытый Всероссийский Турнир WPF "Продвижение 2019"
WPF PRO Становая тяга Безэкипировочная
Москва, 20 октября 2019 г.</t>
  </si>
  <si>
    <t>Открытый Всероссийский Турнир WPF "Продвижение 2019"
WPF AM Жим лежа в Однослойной экипировке
Москва, 20 октября 2019 г.</t>
  </si>
  <si>
    <t>Открытый Всероссийский Турнир WPF "Продвижение 2019"
WPF AM Жим лежа Безэкипировочный
Москва, 20 октября 2019 г.</t>
  </si>
  <si>
    <t>Открытый Всероссийский Турнир WPF "Продвижение 2019"
WPF AM Жим лежа в Многослойной экипировке
Москва, 20 октября 2019 г.</t>
  </si>
  <si>
    <t>Открытый Всероссийский Турнир WPF "Продвижение 2019"
WPF PRO Жим лежа в Однослойной экипировке
Москва, 20 октября 2019 г.</t>
  </si>
  <si>
    <t>Открытый Всероссийский Турнир WPF "Продвижение 2019"
WPF PRO Жим лежа Безэкипировочный
Москва, 20 октября 2019 г.</t>
  </si>
  <si>
    <t>Открытый Всероссийский Турнир WPF "Продвижение 2019"
WPF AM Пауэрлифтинг в Однослойной экипировке
Москва, 20 октября 2019 г.</t>
  </si>
  <si>
    <t>Открытый Всероссийский Турнир WPF "Продвижение 2019"
WPF AM Пауэрлифтинг Безэкипировочный
Москва, 20 октября 2019 г.</t>
  </si>
  <si>
    <t>Открытый Всероссийский Турнир WPF "Продвижение 2019"
WPF AM Пауэрлифтинг Классический
Москва, 20 октября 2019 г.</t>
  </si>
  <si>
    <t>Открытый Всероссийский Турнир WPF "Продвижение 2019"
WPF PRO Пауэрлифтинг в Многослойной экипировке
Москва, 20 октября 2019 г.</t>
  </si>
  <si>
    <t>Открытый Всероссийский Турнир WPF "Продвижение 2019"
WPF PRO  Пауэрлифтинг в Однослойной экипировке
Москва, 20 октября 2019 г.</t>
  </si>
  <si>
    <t>Открытый Всероссийский Турнир WPF "Продвижение 2019"
WPF PRO Пауэрлифтинг Безэкипировочный
Москва, 20 октября 2019 г.</t>
  </si>
  <si>
    <t>Открытый Всероссийский Турнир WPF "Продвижение 2019"
WPF PRO Пауэрлифтинг Классический
Москва, 20 октября 2019 г.</t>
  </si>
  <si>
    <t>Открытый Всероссийский Турнир WPF "Продвижение 2019" ЭЛИТА
WPF PRO Становая тяга Безэкипировочная
Москва, 20 октября 2019 г.</t>
  </si>
  <si>
    <t>Открытый Всероссийский Турнир WPF "Продвижение 2019"
Народный жим (1 вес)
Москва, 20 октября 2019 г.</t>
  </si>
  <si>
    <t>Открытый Всероссийский Турнир WPF "Продвижение 2019"
Народный жим (1 вес) с д.к.
Москва, 20 октября 2019 г.</t>
  </si>
  <si>
    <t>Открытый Всероссийский Турнир WPF "Продвижение 2019"
Народный жим (1/2 вес) с д.к.
Москва, 20 октября 2019 г.</t>
  </si>
  <si>
    <t>Морозов К.Е.</t>
  </si>
  <si>
    <r>
      <rPr>
        <sz val="10"/>
        <color rgb="FFFF0000"/>
        <rFont val="Arial Cyr"/>
        <charset val="204"/>
      </rPr>
      <t>DQ</t>
    </r>
    <r>
      <rPr>
        <sz val="10"/>
        <rFont val="Arial Cyr"/>
        <charset val="204"/>
      </rPr>
      <t xml:space="preserve"> Комаров Кирилл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</si>
</sst>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workbookViewId="0">
      <selection activeCell="A13" sqref="A13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6.140625" style="4" customWidth="1"/>
    <col min="4" max="4" width="8.42578125" style="4" bestFit="1" customWidth="1"/>
    <col min="5" max="5" width="22.7109375" style="4" bestFit="1" customWidth="1"/>
    <col min="6" max="6" width="46" style="4" bestFit="1" customWidth="1"/>
    <col min="7" max="10" width="5.5703125" style="3" bestFit="1" customWidth="1"/>
    <col min="11" max="11" width="11.28515625" style="4" bestFit="1" customWidth="1"/>
    <col min="12" max="12" width="8.5703125" style="3" bestFit="1" customWidth="1"/>
    <col min="13" max="13" width="29" style="4" bestFit="1" customWidth="1"/>
    <col min="14" max="16384" width="9.140625" style="3"/>
  </cols>
  <sheetData>
    <row r="1" spans="1:13" s="2" customFormat="1" ht="29.1" customHeight="1" x14ac:dyDescent="0.2">
      <c r="A1" s="39" t="s">
        <v>1579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12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137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1428</v>
      </c>
      <c r="B6" s="6" t="s">
        <v>1427</v>
      </c>
      <c r="C6" s="6" t="s">
        <v>1426</v>
      </c>
      <c r="D6" s="6" t="str">
        <f>"0,7729"</f>
        <v>0,7729</v>
      </c>
      <c r="E6" s="6" t="s">
        <v>18</v>
      </c>
      <c r="F6" s="6" t="s">
        <v>36</v>
      </c>
      <c r="G6" s="7" t="s">
        <v>259</v>
      </c>
      <c r="H6" s="7" t="s">
        <v>250</v>
      </c>
      <c r="I6" s="8" t="s">
        <v>1425</v>
      </c>
      <c r="J6" s="8"/>
      <c r="K6" s="6" t="str">
        <f>"272,5"</f>
        <v>272,5</v>
      </c>
      <c r="L6" s="7" t="str">
        <f>"210,6152"</f>
        <v>210,6152</v>
      </c>
      <c r="M6" s="6" t="s">
        <v>1424</v>
      </c>
    </row>
    <row r="8" spans="1:13" ht="15" x14ac:dyDescent="0.2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2">
      <c r="A9" s="9" t="s">
        <v>1423</v>
      </c>
      <c r="B9" s="9" t="s">
        <v>1422</v>
      </c>
      <c r="C9" s="9" t="s">
        <v>1421</v>
      </c>
      <c r="D9" s="9" t="str">
        <f>"0,6704"</f>
        <v>0,6704</v>
      </c>
      <c r="E9" s="9" t="s">
        <v>18</v>
      </c>
      <c r="F9" s="9" t="s">
        <v>1420</v>
      </c>
      <c r="G9" s="10" t="s">
        <v>1309</v>
      </c>
      <c r="H9" s="10" t="s">
        <v>1336</v>
      </c>
      <c r="I9" s="11" t="s">
        <v>1385</v>
      </c>
      <c r="J9" s="11"/>
      <c r="K9" s="9" t="str">
        <f>"365,0"</f>
        <v>365,0</v>
      </c>
      <c r="L9" s="10" t="str">
        <f>"244,6960"</f>
        <v>244,6960</v>
      </c>
      <c r="M9" s="9" t="s">
        <v>1419</v>
      </c>
    </row>
    <row r="10" spans="1:13" x14ac:dyDescent="0.2">
      <c r="A10" s="14" t="s">
        <v>1418</v>
      </c>
      <c r="B10" s="14" t="s">
        <v>1417</v>
      </c>
      <c r="C10" s="14" t="s">
        <v>512</v>
      </c>
      <c r="D10" s="14" t="str">
        <f>"0,6719"</f>
        <v>0,6719</v>
      </c>
      <c r="E10" s="14" t="s">
        <v>35</v>
      </c>
      <c r="F10" s="14" t="s">
        <v>1416</v>
      </c>
      <c r="G10" s="15" t="s">
        <v>91</v>
      </c>
      <c r="H10" s="15" t="s">
        <v>1331</v>
      </c>
      <c r="I10" s="16" t="s">
        <v>392</v>
      </c>
      <c r="J10" s="16"/>
      <c r="K10" s="14" t="str">
        <f>"327,5"</f>
        <v>327,5</v>
      </c>
      <c r="L10" s="15" t="str">
        <f>"220,0472"</f>
        <v>220,0472</v>
      </c>
      <c r="M10" s="14" t="s">
        <v>169</v>
      </c>
    </row>
    <row r="11" spans="1:13" x14ac:dyDescent="0.2">
      <c r="A11" s="14" t="s">
        <v>1415</v>
      </c>
      <c r="B11" s="14" t="s">
        <v>1414</v>
      </c>
      <c r="C11" s="14" t="s">
        <v>1413</v>
      </c>
      <c r="D11" s="14" t="str">
        <f>"0,7017"</f>
        <v>0,7017</v>
      </c>
      <c r="E11" s="14" t="s">
        <v>18</v>
      </c>
      <c r="F11" s="14" t="s">
        <v>1107</v>
      </c>
      <c r="G11" s="15" t="s">
        <v>86</v>
      </c>
      <c r="H11" s="15" t="s">
        <v>251</v>
      </c>
      <c r="I11" s="16" t="s">
        <v>74</v>
      </c>
      <c r="J11" s="16"/>
      <c r="K11" s="14" t="str">
        <f>"285,0"</f>
        <v>285,0</v>
      </c>
      <c r="L11" s="15" t="str">
        <f>"199,9845"</f>
        <v>199,9845</v>
      </c>
      <c r="M11" s="14" t="s">
        <v>144</v>
      </c>
    </row>
    <row r="12" spans="1:13" x14ac:dyDescent="0.2">
      <c r="A12" s="14" t="s">
        <v>1412</v>
      </c>
      <c r="B12" s="14" t="s">
        <v>1411</v>
      </c>
      <c r="C12" s="14" t="s">
        <v>1410</v>
      </c>
      <c r="D12" s="14" t="str">
        <f>"0,6963"</f>
        <v>0,6963</v>
      </c>
      <c r="E12" s="14" t="s">
        <v>18</v>
      </c>
      <c r="F12" s="14" t="s">
        <v>1409</v>
      </c>
      <c r="G12" s="15" t="s">
        <v>86</v>
      </c>
      <c r="H12" s="16" t="s">
        <v>87</v>
      </c>
      <c r="I12" s="15" t="s">
        <v>87</v>
      </c>
      <c r="J12" s="16"/>
      <c r="K12" s="14" t="str">
        <f>"280,0"</f>
        <v>280,0</v>
      </c>
      <c r="L12" s="15" t="str">
        <f>"194,9640"</f>
        <v>194,9640</v>
      </c>
      <c r="M12" s="14" t="s">
        <v>169</v>
      </c>
    </row>
    <row r="13" spans="1:13" x14ac:dyDescent="0.2">
      <c r="A13" s="14" t="s">
        <v>1408</v>
      </c>
      <c r="B13" s="14" t="s">
        <v>1407</v>
      </c>
      <c r="C13" s="14" t="s">
        <v>872</v>
      </c>
      <c r="D13" s="14" t="str">
        <f>"0,6849"</f>
        <v>0,6849</v>
      </c>
      <c r="E13" s="14" t="s">
        <v>18</v>
      </c>
      <c r="F13" s="14" t="s">
        <v>1406</v>
      </c>
      <c r="G13" s="16" t="s">
        <v>86</v>
      </c>
      <c r="H13" s="15" t="s">
        <v>86</v>
      </c>
      <c r="I13" s="16" t="s">
        <v>74</v>
      </c>
      <c r="J13" s="16"/>
      <c r="K13" s="14" t="str">
        <f>"270,0"</f>
        <v>270,0</v>
      </c>
      <c r="L13" s="15" t="str">
        <f>"184,9230"</f>
        <v>184,9230</v>
      </c>
      <c r="M13" s="14" t="s">
        <v>169</v>
      </c>
    </row>
    <row r="14" spans="1:13" x14ac:dyDescent="0.2">
      <c r="A14" s="12" t="s">
        <v>1405</v>
      </c>
      <c r="B14" s="12" t="s">
        <v>1404</v>
      </c>
      <c r="C14" s="12" t="s">
        <v>650</v>
      </c>
      <c r="D14" s="12" t="str">
        <f>"0,6838"</f>
        <v>0,6838</v>
      </c>
      <c r="E14" s="12" t="s">
        <v>18</v>
      </c>
      <c r="F14" s="12" t="s">
        <v>906</v>
      </c>
      <c r="G14" s="13" t="s">
        <v>74</v>
      </c>
      <c r="H14" s="13" t="s">
        <v>74</v>
      </c>
      <c r="I14" s="13"/>
      <c r="J14" s="13"/>
      <c r="K14" s="12" t="str">
        <f>"0.00"</f>
        <v>0.00</v>
      </c>
      <c r="L14" s="17" t="str">
        <f>"0,0000"</f>
        <v>0,0000</v>
      </c>
      <c r="M14" s="12" t="s">
        <v>1403</v>
      </c>
    </row>
    <row r="16" spans="1:13" ht="15" x14ac:dyDescent="0.2">
      <c r="A16" s="35" t="s">
        <v>46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3" x14ac:dyDescent="0.2">
      <c r="A17" s="9" t="s">
        <v>1402</v>
      </c>
      <c r="B17" s="9" t="s">
        <v>1401</v>
      </c>
      <c r="C17" s="9" t="s">
        <v>1400</v>
      </c>
      <c r="D17" s="9" t="str">
        <f>"0,6384"</f>
        <v>0,6384</v>
      </c>
      <c r="E17" s="9" t="s">
        <v>18</v>
      </c>
      <c r="F17" s="9" t="s">
        <v>969</v>
      </c>
      <c r="G17" s="10" t="s">
        <v>577</v>
      </c>
      <c r="H17" s="11" t="s">
        <v>1348</v>
      </c>
      <c r="I17" s="11" t="s">
        <v>1385</v>
      </c>
      <c r="J17" s="11"/>
      <c r="K17" s="9" t="str">
        <f>"355,0"</f>
        <v>355,0</v>
      </c>
      <c r="L17" s="10" t="str">
        <f>"226,6320"</f>
        <v>226,6320</v>
      </c>
      <c r="M17" s="9" t="s">
        <v>1399</v>
      </c>
    </row>
    <row r="18" spans="1:13" x14ac:dyDescent="0.2">
      <c r="A18" s="14" t="s">
        <v>949</v>
      </c>
      <c r="B18" s="14" t="s">
        <v>1398</v>
      </c>
      <c r="C18" s="14" t="s">
        <v>1397</v>
      </c>
      <c r="D18" s="14" t="str">
        <f>"0,6395"</f>
        <v>0,6395</v>
      </c>
      <c r="E18" s="14" t="s">
        <v>18</v>
      </c>
      <c r="F18" s="14" t="s">
        <v>36</v>
      </c>
      <c r="G18" s="15" t="s">
        <v>79</v>
      </c>
      <c r="H18" s="15" t="s">
        <v>1312</v>
      </c>
      <c r="I18" s="16" t="s">
        <v>1353</v>
      </c>
      <c r="J18" s="16"/>
      <c r="K18" s="14" t="str">
        <f>"317,5"</f>
        <v>317,5</v>
      </c>
      <c r="L18" s="15" t="str">
        <f>"203,0413"</f>
        <v>203,0413</v>
      </c>
      <c r="M18" s="14" t="s">
        <v>1396</v>
      </c>
    </row>
    <row r="19" spans="1:13" x14ac:dyDescent="0.2">
      <c r="A19" s="12" t="s">
        <v>1395</v>
      </c>
      <c r="B19" s="12" t="s">
        <v>1394</v>
      </c>
      <c r="C19" s="12" t="s">
        <v>1393</v>
      </c>
      <c r="D19" s="12" t="str">
        <f>"0,6523"</f>
        <v>0,6523</v>
      </c>
      <c r="E19" s="12" t="s">
        <v>18</v>
      </c>
      <c r="F19" s="12" t="s">
        <v>1392</v>
      </c>
      <c r="G19" s="13" t="s">
        <v>1391</v>
      </c>
      <c r="H19" s="13" t="s">
        <v>1391</v>
      </c>
      <c r="I19" s="13" t="s">
        <v>1385</v>
      </c>
      <c r="J19" s="13"/>
      <c r="K19" s="12" t="str">
        <f>"0.00"</f>
        <v>0.00</v>
      </c>
      <c r="L19" s="17" t="str">
        <f>"0,0000"</f>
        <v>0,0000</v>
      </c>
      <c r="M19" s="12" t="s">
        <v>1390</v>
      </c>
    </row>
    <row r="21" spans="1:13" ht="15" x14ac:dyDescent="0.2">
      <c r="A21" s="35" t="s">
        <v>58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3" x14ac:dyDescent="0.2">
      <c r="A22" s="9" t="s">
        <v>1389</v>
      </c>
      <c r="B22" s="9" t="s">
        <v>1388</v>
      </c>
      <c r="C22" s="9" t="s">
        <v>1387</v>
      </c>
      <c r="D22" s="9" t="str">
        <f>"0,6232"</f>
        <v>0,6232</v>
      </c>
      <c r="E22" s="9" t="s">
        <v>18</v>
      </c>
      <c r="F22" s="9" t="s">
        <v>1386</v>
      </c>
      <c r="G22" s="10" t="s">
        <v>1318</v>
      </c>
      <c r="H22" s="11" t="s">
        <v>1385</v>
      </c>
      <c r="I22" s="11" t="s">
        <v>1385</v>
      </c>
      <c r="J22" s="11"/>
      <c r="K22" s="9" t="str">
        <f>"350,0"</f>
        <v>350,0</v>
      </c>
      <c r="L22" s="10" t="str">
        <f>"218,1200"</f>
        <v>218,1200</v>
      </c>
      <c r="M22" s="9" t="s">
        <v>80</v>
      </c>
    </row>
    <row r="23" spans="1:13" x14ac:dyDescent="0.2">
      <c r="A23" s="14" t="s">
        <v>1384</v>
      </c>
      <c r="B23" s="14" t="s">
        <v>1383</v>
      </c>
      <c r="C23" s="14" t="s">
        <v>1214</v>
      </c>
      <c r="D23" s="14" t="str">
        <f>"0,6214"</f>
        <v>0,6214</v>
      </c>
      <c r="E23" s="14" t="s">
        <v>18</v>
      </c>
      <c r="F23" s="14" t="s">
        <v>148</v>
      </c>
      <c r="G23" s="15" t="s">
        <v>201</v>
      </c>
      <c r="H23" s="16" t="s">
        <v>401</v>
      </c>
      <c r="I23" s="16" t="s">
        <v>401</v>
      </c>
      <c r="J23" s="16"/>
      <c r="K23" s="14" t="str">
        <f>"310,0"</f>
        <v>310,0</v>
      </c>
      <c r="L23" s="15" t="str">
        <f>"192,6340"</f>
        <v>192,6340</v>
      </c>
      <c r="M23" s="14" t="s">
        <v>80</v>
      </c>
    </row>
    <row r="24" spans="1:13" x14ac:dyDescent="0.2">
      <c r="A24" s="14" t="s">
        <v>1382</v>
      </c>
      <c r="B24" s="14" t="s">
        <v>1381</v>
      </c>
      <c r="C24" s="14" t="s">
        <v>687</v>
      </c>
      <c r="D24" s="14" t="str">
        <f>"0,6338"</f>
        <v>0,6338</v>
      </c>
      <c r="E24" s="14" t="s">
        <v>375</v>
      </c>
      <c r="F24" s="14" t="s">
        <v>36</v>
      </c>
      <c r="G24" s="15" t="s">
        <v>200</v>
      </c>
      <c r="H24" s="16" t="s">
        <v>201</v>
      </c>
      <c r="I24" s="16"/>
      <c r="J24" s="16"/>
      <c r="K24" s="14" t="str">
        <f>"300,0"</f>
        <v>300,0</v>
      </c>
      <c r="L24" s="15" t="str">
        <f>"190,1400"</f>
        <v>190,1400</v>
      </c>
      <c r="M24" s="14" t="s">
        <v>1380</v>
      </c>
    </row>
    <row r="25" spans="1:13" x14ac:dyDescent="0.2">
      <c r="A25" s="14" t="s">
        <v>1379</v>
      </c>
      <c r="B25" s="14" t="s">
        <v>1378</v>
      </c>
      <c r="C25" s="14" t="s">
        <v>1377</v>
      </c>
      <c r="D25" s="14" t="str">
        <f>"0,6263"</f>
        <v>0,6263</v>
      </c>
      <c r="E25" s="14" t="s">
        <v>18</v>
      </c>
      <c r="F25" s="14" t="s">
        <v>1376</v>
      </c>
      <c r="G25" s="16" t="s">
        <v>1309</v>
      </c>
      <c r="H25" s="16" t="s">
        <v>1309</v>
      </c>
      <c r="I25" s="16" t="s">
        <v>1309</v>
      </c>
      <c r="J25" s="16"/>
      <c r="K25" s="14" t="str">
        <f>"0.00"</f>
        <v>0.00</v>
      </c>
      <c r="L25" s="15" t="str">
        <f>"0,0000"</f>
        <v>0,0000</v>
      </c>
      <c r="M25" s="14" t="s">
        <v>169</v>
      </c>
    </row>
    <row r="26" spans="1:13" x14ac:dyDescent="0.2">
      <c r="A26" s="12" t="s">
        <v>1375</v>
      </c>
      <c r="B26" s="12" t="s">
        <v>1374</v>
      </c>
      <c r="C26" s="12" t="s">
        <v>1373</v>
      </c>
      <c r="D26" s="12" t="str">
        <f>"0,6113"</f>
        <v>0,6113</v>
      </c>
      <c r="E26" s="12" t="s">
        <v>18</v>
      </c>
      <c r="F26" s="12" t="s">
        <v>36</v>
      </c>
      <c r="G26" s="13" t="s">
        <v>90</v>
      </c>
      <c r="H26" s="13" t="s">
        <v>90</v>
      </c>
      <c r="I26" s="13" t="s">
        <v>90</v>
      </c>
      <c r="J26" s="13"/>
      <c r="K26" s="12" t="str">
        <f>"0.00"</f>
        <v>0.00</v>
      </c>
      <c r="L26" s="17" t="str">
        <f>"0,0000"</f>
        <v>0,0000</v>
      </c>
      <c r="M26" s="12" t="s">
        <v>80</v>
      </c>
    </row>
    <row r="28" spans="1:13" ht="15" x14ac:dyDescent="0.2">
      <c r="A28" s="35" t="s">
        <v>253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3" x14ac:dyDescent="0.2">
      <c r="A29" s="9" t="s">
        <v>1372</v>
      </c>
      <c r="B29" s="9" t="s">
        <v>1371</v>
      </c>
      <c r="C29" s="9" t="s">
        <v>1370</v>
      </c>
      <c r="D29" s="9" t="str">
        <f>"0,6069"</f>
        <v>0,6069</v>
      </c>
      <c r="E29" s="9" t="s">
        <v>18</v>
      </c>
      <c r="F29" s="9" t="s">
        <v>36</v>
      </c>
      <c r="G29" s="10" t="s">
        <v>1321</v>
      </c>
      <c r="H29" s="11" t="s">
        <v>1369</v>
      </c>
      <c r="I29" s="11" t="s">
        <v>1369</v>
      </c>
      <c r="J29" s="11"/>
      <c r="K29" s="9" t="str">
        <f>"360,0"</f>
        <v>360,0</v>
      </c>
      <c r="L29" s="10" t="str">
        <f>"218,4840"</f>
        <v>218,4840</v>
      </c>
      <c r="M29" s="9" t="s">
        <v>144</v>
      </c>
    </row>
    <row r="30" spans="1:13" x14ac:dyDescent="0.2">
      <c r="A30" s="14" t="s">
        <v>1368</v>
      </c>
      <c r="B30" s="14" t="s">
        <v>1367</v>
      </c>
      <c r="C30" s="14" t="s">
        <v>1296</v>
      </c>
      <c r="D30" s="14" t="str">
        <f>"0,5941"</f>
        <v>0,5941</v>
      </c>
      <c r="E30" s="14" t="s">
        <v>1366</v>
      </c>
      <c r="F30" s="14" t="s">
        <v>234</v>
      </c>
      <c r="G30" s="15" t="s">
        <v>1309</v>
      </c>
      <c r="H30" s="15" t="s">
        <v>1321</v>
      </c>
      <c r="I30" s="16" t="s">
        <v>1348</v>
      </c>
      <c r="J30" s="16"/>
      <c r="K30" s="14" t="str">
        <f>"360,0"</f>
        <v>360,0</v>
      </c>
      <c r="L30" s="15" t="str">
        <f>"213,8760"</f>
        <v>213,8760</v>
      </c>
      <c r="M30" s="14" t="s">
        <v>1365</v>
      </c>
    </row>
    <row r="31" spans="1:13" x14ac:dyDescent="0.2">
      <c r="A31" s="14" t="s">
        <v>1364</v>
      </c>
      <c r="B31" s="14" t="s">
        <v>1363</v>
      </c>
      <c r="C31" s="14" t="s">
        <v>1362</v>
      </c>
      <c r="D31" s="14" t="str">
        <f>"0,6062"</f>
        <v>0,6062</v>
      </c>
      <c r="E31" s="14" t="s">
        <v>18</v>
      </c>
      <c r="F31" s="14" t="s">
        <v>36</v>
      </c>
      <c r="G31" s="16" t="s">
        <v>1353</v>
      </c>
      <c r="H31" s="15" t="s">
        <v>1353</v>
      </c>
      <c r="I31" s="15" t="s">
        <v>1318</v>
      </c>
      <c r="J31" s="16" t="s">
        <v>1361</v>
      </c>
      <c r="K31" s="14" t="str">
        <f>"350,0"</f>
        <v>350,0</v>
      </c>
      <c r="L31" s="15" t="str">
        <f>"212,1700"</f>
        <v>212,1700</v>
      </c>
      <c r="M31" s="14" t="s">
        <v>169</v>
      </c>
    </row>
    <row r="32" spans="1:13" x14ac:dyDescent="0.2">
      <c r="A32" s="14" t="s">
        <v>1360</v>
      </c>
      <c r="B32" s="14" t="s">
        <v>1359</v>
      </c>
      <c r="C32" s="14" t="s">
        <v>703</v>
      </c>
      <c r="D32" s="14" t="str">
        <f>"0,5928"</f>
        <v>0,5928</v>
      </c>
      <c r="E32" s="14" t="s">
        <v>375</v>
      </c>
      <c r="F32" s="14" t="s">
        <v>1358</v>
      </c>
      <c r="G32" s="15" t="s">
        <v>583</v>
      </c>
      <c r="H32" s="16" t="s">
        <v>1336</v>
      </c>
      <c r="I32" s="16" t="s">
        <v>1336</v>
      </c>
      <c r="J32" s="16"/>
      <c r="K32" s="14" t="str">
        <f>"345,0"</f>
        <v>345,0</v>
      </c>
      <c r="L32" s="15" t="str">
        <f>"204,5160"</f>
        <v>204,5160</v>
      </c>
      <c r="M32" s="14" t="s">
        <v>1357</v>
      </c>
    </row>
    <row r="33" spans="1:13" x14ac:dyDescent="0.2">
      <c r="A33" s="12" t="s">
        <v>1356</v>
      </c>
      <c r="B33" s="12" t="s">
        <v>1355</v>
      </c>
      <c r="C33" s="12" t="s">
        <v>1354</v>
      </c>
      <c r="D33" s="12" t="str">
        <f>"0,5933"</f>
        <v>0,5933</v>
      </c>
      <c r="E33" s="12" t="s">
        <v>18</v>
      </c>
      <c r="F33" s="12" t="s">
        <v>615</v>
      </c>
      <c r="G33" s="17" t="s">
        <v>1353</v>
      </c>
      <c r="H33" s="17" t="s">
        <v>1309</v>
      </c>
      <c r="I33" s="13" t="s">
        <v>577</v>
      </c>
      <c r="J33" s="13"/>
      <c r="K33" s="12" t="str">
        <f>"340,0"</f>
        <v>340,0</v>
      </c>
      <c r="L33" s="17" t="str">
        <f>"201,7220"</f>
        <v>201,7220</v>
      </c>
      <c r="M33" s="12" t="s">
        <v>1583</v>
      </c>
    </row>
    <row r="35" spans="1:13" ht="15" x14ac:dyDescent="0.2">
      <c r="A35" s="35" t="s">
        <v>93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3" x14ac:dyDescent="0.2">
      <c r="A36" s="6" t="s">
        <v>1352</v>
      </c>
      <c r="B36" s="6" t="s">
        <v>1351</v>
      </c>
      <c r="C36" s="6" t="s">
        <v>1350</v>
      </c>
      <c r="D36" s="6" t="str">
        <f>"0,5702"</f>
        <v>0,5702</v>
      </c>
      <c r="E36" s="6" t="s">
        <v>18</v>
      </c>
      <c r="F36" s="6" t="s">
        <v>1349</v>
      </c>
      <c r="G36" s="8" t="s">
        <v>1321</v>
      </c>
      <c r="H36" s="8" t="s">
        <v>1321</v>
      </c>
      <c r="I36" s="8" t="s">
        <v>1348</v>
      </c>
      <c r="J36" s="8"/>
      <c r="K36" s="6" t="str">
        <f>"0.00"</f>
        <v>0.00</v>
      </c>
      <c r="L36" s="7" t="str">
        <f>"0,0000"</f>
        <v>0,0000</v>
      </c>
      <c r="M36" s="6" t="s">
        <v>80</v>
      </c>
    </row>
    <row r="38" spans="1:13" ht="15" x14ac:dyDescent="0.2">
      <c r="A38" s="35" t="s">
        <v>557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3" x14ac:dyDescent="0.2">
      <c r="A39" s="9" t="s">
        <v>1347</v>
      </c>
      <c r="B39" s="9" t="s">
        <v>1346</v>
      </c>
      <c r="C39" s="9" t="s">
        <v>1345</v>
      </c>
      <c r="D39" s="9" t="str">
        <f>"0,5661"</f>
        <v>0,5661</v>
      </c>
      <c r="E39" s="9" t="s">
        <v>18</v>
      </c>
      <c r="F39" s="9" t="s">
        <v>651</v>
      </c>
      <c r="G39" s="10" t="s">
        <v>1321</v>
      </c>
      <c r="H39" s="11" t="s">
        <v>1324</v>
      </c>
      <c r="I39" s="10" t="s">
        <v>1324</v>
      </c>
      <c r="J39" s="11" t="s">
        <v>1344</v>
      </c>
      <c r="K39" s="9" t="str">
        <f>"380,0"</f>
        <v>380,0</v>
      </c>
      <c r="L39" s="10" t="str">
        <f>"215,1180"</f>
        <v>215,1180</v>
      </c>
      <c r="M39" s="9" t="s">
        <v>1343</v>
      </c>
    </row>
    <row r="40" spans="1:13" x14ac:dyDescent="0.2">
      <c r="A40" s="12" t="s">
        <v>1342</v>
      </c>
      <c r="B40" s="12" t="s">
        <v>1341</v>
      </c>
      <c r="C40" s="12" t="s">
        <v>1340</v>
      </c>
      <c r="D40" s="12" t="str">
        <f>"0,5654"</f>
        <v>0,5654</v>
      </c>
      <c r="E40" s="12" t="s">
        <v>18</v>
      </c>
      <c r="F40" s="12" t="s">
        <v>992</v>
      </c>
      <c r="G40" s="13" t="s">
        <v>1339</v>
      </c>
      <c r="H40" s="13" t="s">
        <v>1339</v>
      </c>
      <c r="I40" s="13"/>
      <c r="J40" s="13"/>
      <c r="K40" s="12" t="str">
        <f>"0.00"</f>
        <v>0.00</v>
      </c>
      <c r="L40" s="17" t="str">
        <f>"0,0000"</f>
        <v>0,0000</v>
      </c>
      <c r="M40" s="12" t="s">
        <v>1338</v>
      </c>
    </row>
    <row r="42" spans="1:13" ht="15" x14ac:dyDescent="0.2">
      <c r="E42" s="18" t="s">
        <v>102</v>
      </c>
    </row>
    <row r="43" spans="1:13" ht="15" x14ac:dyDescent="0.2">
      <c r="E43" s="18" t="s">
        <v>103</v>
      </c>
    </row>
    <row r="44" spans="1:13" ht="15" x14ac:dyDescent="0.2">
      <c r="E44" s="18" t="s">
        <v>104</v>
      </c>
    </row>
    <row r="45" spans="1:13" ht="15" x14ac:dyDescent="0.2">
      <c r="E45" s="18" t="s">
        <v>105</v>
      </c>
    </row>
    <row r="46" spans="1:13" ht="15" x14ac:dyDescent="0.2">
      <c r="E46" s="18" t="s">
        <v>105</v>
      </c>
    </row>
    <row r="47" spans="1:13" ht="15" x14ac:dyDescent="0.2">
      <c r="E47" s="18" t="s">
        <v>106</v>
      </c>
    </row>
    <row r="48" spans="1:13" ht="15" x14ac:dyDescent="0.2">
      <c r="E48" s="18"/>
    </row>
    <row r="50" spans="1:5" ht="18" x14ac:dyDescent="0.25">
      <c r="A50" s="19" t="s">
        <v>107</v>
      </c>
      <c r="B50" s="19"/>
    </row>
    <row r="51" spans="1:5" ht="15" x14ac:dyDescent="0.2">
      <c r="A51" s="20" t="s">
        <v>118</v>
      </c>
      <c r="B51" s="20"/>
    </row>
    <row r="52" spans="1:5" ht="14.25" x14ac:dyDescent="0.2">
      <c r="A52" s="22"/>
      <c r="B52" s="23" t="s">
        <v>109</v>
      </c>
    </row>
    <row r="53" spans="1:5" ht="15" x14ac:dyDescent="0.2">
      <c r="A53" s="24" t="s">
        <v>110</v>
      </c>
      <c r="B53" s="24" t="s">
        <v>111</v>
      </c>
      <c r="C53" s="24" t="s">
        <v>112</v>
      </c>
      <c r="D53" s="24" t="s">
        <v>113</v>
      </c>
      <c r="E53" s="24" t="s">
        <v>114</v>
      </c>
    </row>
    <row r="54" spans="1:5" x14ac:dyDescent="0.2">
      <c r="A54" s="21" t="s">
        <v>1337</v>
      </c>
      <c r="B54" s="4" t="s">
        <v>109</v>
      </c>
      <c r="C54" s="4" t="s">
        <v>134</v>
      </c>
      <c r="D54" s="4" t="s">
        <v>1336</v>
      </c>
      <c r="E54" s="25" t="s">
        <v>1335</v>
      </c>
    </row>
    <row r="55" spans="1:5" x14ac:dyDescent="0.2">
      <c r="A55" s="21" t="s">
        <v>1334</v>
      </c>
      <c r="B55" s="4" t="s">
        <v>109</v>
      </c>
      <c r="C55" s="4" t="s">
        <v>131</v>
      </c>
      <c r="D55" s="4" t="s">
        <v>577</v>
      </c>
      <c r="E55" s="25" t="s">
        <v>1333</v>
      </c>
    </row>
    <row r="56" spans="1:5" x14ac:dyDescent="0.2">
      <c r="A56" s="21" t="s">
        <v>1332</v>
      </c>
      <c r="B56" s="4" t="s">
        <v>109</v>
      </c>
      <c r="C56" s="4" t="s">
        <v>134</v>
      </c>
      <c r="D56" s="4" t="s">
        <v>1331</v>
      </c>
      <c r="E56" s="25" t="s">
        <v>1330</v>
      </c>
    </row>
    <row r="57" spans="1:5" x14ac:dyDescent="0.2">
      <c r="A57" s="21" t="s">
        <v>1329</v>
      </c>
      <c r="B57" s="4" t="s">
        <v>109</v>
      </c>
      <c r="C57" s="4" t="s">
        <v>262</v>
      </c>
      <c r="D57" s="4" t="s">
        <v>1321</v>
      </c>
      <c r="E57" s="25" t="s">
        <v>1328</v>
      </c>
    </row>
    <row r="58" spans="1:5" x14ac:dyDescent="0.2">
      <c r="A58" s="21" t="s">
        <v>1327</v>
      </c>
      <c r="B58" s="4" t="s">
        <v>109</v>
      </c>
      <c r="C58" s="4" t="s">
        <v>121</v>
      </c>
      <c r="D58" s="4" t="s">
        <v>1318</v>
      </c>
      <c r="E58" s="25" t="s">
        <v>1326</v>
      </c>
    </row>
    <row r="59" spans="1:5" x14ac:dyDescent="0.2">
      <c r="A59" s="21" t="s">
        <v>1325</v>
      </c>
      <c r="B59" s="4" t="s">
        <v>109</v>
      </c>
      <c r="C59" s="4" t="s">
        <v>598</v>
      </c>
      <c r="D59" s="4" t="s">
        <v>1324</v>
      </c>
      <c r="E59" s="25" t="s">
        <v>1323</v>
      </c>
    </row>
    <row r="60" spans="1:5" x14ac:dyDescent="0.2">
      <c r="A60" s="21" t="s">
        <v>1322</v>
      </c>
      <c r="B60" s="4" t="s">
        <v>109</v>
      </c>
      <c r="C60" s="4" t="s">
        <v>262</v>
      </c>
      <c r="D60" s="4" t="s">
        <v>1321</v>
      </c>
      <c r="E60" s="25" t="s">
        <v>1320</v>
      </c>
    </row>
    <row r="61" spans="1:5" x14ac:dyDescent="0.2">
      <c r="A61" s="21" t="s">
        <v>1319</v>
      </c>
      <c r="B61" s="4" t="s">
        <v>109</v>
      </c>
      <c r="C61" s="4" t="s">
        <v>262</v>
      </c>
      <c r="D61" s="4" t="s">
        <v>1318</v>
      </c>
      <c r="E61" s="25" t="s">
        <v>1317</v>
      </c>
    </row>
    <row r="62" spans="1:5" x14ac:dyDescent="0.2">
      <c r="A62" s="21" t="s">
        <v>1316</v>
      </c>
      <c r="B62" s="4" t="s">
        <v>109</v>
      </c>
      <c r="C62" s="4" t="s">
        <v>212</v>
      </c>
      <c r="D62" s="4" t="s">
        <v>250</v>
      </c>
      <c r="E62" s="25" t="s">
        <v>1315</v>
      </c>
    </row>
    <row r="63" spans="1:5" x14ac:dyDescent="0.2">
      <c r="A63" s="21" t="s">
        <v>1314</v>
      </c>
      <c r="B63" s="4" t="s">
        <v>109</v>
      </c>
      <c r="C63" s="4" t="s">
        <v>262</v>
      </c>
      <c r="D63" s="4" t="s">
        <v>583</v>
      </c>
      <c r="E63" s="25" t="s">
        <v>1313</v>
      </c>
    </row>
    <row r="64" spans="1:5" x14ac:dyDescent="0.2">
      <c r="A64" s="21" t="s">
        <v>948</v>
      </c>
      <c r="B64" s="4" t="s">
        <v>109</v>
      </c>
      <c r="C64" s="4" t="s">
        <v>131</v>
      </c>
      <c r="D64" s="4" t="s">
        <v>1312</v>
      </c>
      <c r="E64" s="25" t="s">
        <v>1311</v>
      </c>
    </row>
    <row r="65" spans="1:5" x14ac:dyDescent="0.2">
      <c r="A65" s="21" t="s">
        <v>1310</v>
      </c>
      <c r="B65" s="4" t="s">
        <v>109</v>
      </c>
      <c r="C65" s="4" t="s">
        <v>262</v>
      </c>
      <c r="D65" s="4" t="s">
        <v>1309</v>
      </c>
      <c r="E65" s="25" t="s">
        <v>1308</v>
      </c>
    </row>
    <row r="66" spans="1:5" x14ac:dyDescent="0.2">
      <c r="A66" s="21" t="s">
        <v>1307</v>
      </c>
      <c r="B66" s="4" t="s">
        <v>109</v>
      </c>
      <c r="C66" s="4" t="s">
        <v>134</v>
      </c>
      <c r="D66" s="4" t="s">
        <v>251</v>
      </c>
      <c r="E66" s="25" t="s">
        <v>1306</v>
      </c>
    </row>
    <row r="67" spans="1:5" x14ac:dyDescent="0.2">
      <c r="A67" s="21" t="s">
        <v>1305</v>
      </c>
      <c r="B67" s="4" t="s">
        <v>109</v>
      </c>
      <c r="C67" s="4" t="s">
        <v>134</v>
      </c>
      <c r="D67" s="4" t="s">
        <v>87</v>
      </c>
      <c r="E67" s="25" t="s">
        <v>1304</v>
      </c>
    </row>
    <row r="68" spans="1:5" x14ac:dyDescent="0.2">
      <c r="A68" s="21" t="s">
        <v>1303</v>
      </c>
      <c r="B68" s="4" t="s">
        <v>109</v>
      </c>
      <c r="C68" s="4" t="s">
        <v>121</v>
      </c>
      <c r="D68" s="4" t="s">
        <v>201</v>
      </c>
      <c r="E68" s="25" t="s">
        <v>1302</v>
      </c>
    </row>
    <row r="69" spans="1:5" x14ac:dyDescent="0.2">
      <c r="A69" s="21" t="s">
        <v>1301</v>
      </c>
      <c r="B69" s="4" t="s">
        <v>109</v>
      </c>
      <c r="C69" s="4" t="s">
        <v>121</v>
      </c>
      <c r="D69" s="4" t="s">
        <v>200</v>
      </c>
      <c r="E69" s="25" t="s">
        <v>1300</v>
      </c>
    </row>
    <row r="70" spans="1:5" x14ac:dyDescent="0.2">
      <c r="A70" s="21" t="s">
        <v>1299</v>
      </c>
      <c r="B70" s="4" t="s">
        <v>109</v>
      </c>
      <c r="C70" s="4" t="s">
        <v>134</v>
      </c>
      <c r="D70" s="4" t="s">
        <v>86</v>
      </c>
      <c r="E70" s="25" t="s">
        <v>1298</v>
      </c>
    </row>
  </sheetData>
  <mergeCells count="18">
    <mergeCell ref="E3:E4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A35:L35"/>
    <mergeCell ref="A38:L38"/>
    <mergeCell ref="A5:L5"/>
    <mergeCell ref="A8:L8"/>
    <mergeCell ref="A16:L16"/>
    <mergeCell ref="A21:L21"/>
    <mergeCell ref="A28:L28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activeCell="F20" sqref="F20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6" style="4" customWidth="1"/>
    <col min="4" max="4" width="8.42578125" style="4" bestFit="1" customWidth="1"/>
    <col min="5" max="5" width="22.7109375" style="4" bestFit="1" customWidth="1"/>
    <col min="6" max="6" width="37.28515625" style="4" bestFit="1" customWidth="1"/>
    <col min="7" max="7" width="8.140625" style="3" customWidth="1"/>
    <col min="8" max="8" width="10.5703125" style="31" customWidth="1"/>
    <col min="9" max="9" width="9.85546875" style="4" customWidth="1"/>
    <col min="10" max="10" width="9.5703125" style="3" bestFit="1" customWidth="1"/>
    <col min="11" max="11" width="15.140625" style="4" bestFit="1" customWidth="1"/>
    <col min="12" max="16384" width="9.140625" style="3"/>
  </cols>
  <sheetData>
    <row r="1" spans="1:11" s="2" customFormat="1" ht="29.1" customHeight="1" x14ac:dyDescent="0.2">
      <c r="A1" s="39" t="s">
        <v>1580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1430</v>
      </c>
      <c r="E3" s="37" t="s">
        <v>4</v>
      </c>
      <c r="F3" s="37" t="s">
        <v>8</v>
      </c>
      <c r="G3" s="37" t="s">
        <v>1431</v>
      </c>
      <c r="H3" s="37"/>
      <c r="I3" s="37" t="s">
        <v>1432</v>
      </c>
      <c r="J3" s="37" t="s">
        <v>3</v>
      </c>
      <c r="K3" s="48" t="s">
        <v>2</v>
      </c>
    </row>
    <row r="4" spans="1:11" s="1" customFormat="1" ht="21" customHeight="1" thickBot="1" x14ac:dyDescent="0.25">
      <c r="A4" s="46"/>
      <c r="B4" s="38"/>
      <c r="C4" s="38"/>
      <c r="D4" s="38"/>
      <c r="E4" s="38"/>
      <c r="F4" s="38"/>
      <c r="G4" s="26" t="s">
        <v>1433</v>
      </c>
      <c r="H4" s="29" t="s">
        <v>1434</v>
      </c>
      <c r="I4" s="38"/>
      <c r="J4" s="38"/>
      <c r="K4" s="49"/>
    </row>
    <row r="5" spans="1:11" ht="15" x14ac:dyDescent="0.2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">
      <c r="A6" s="6" t="s">
        <v>1536</v>
      </c>
      <c r="B6" s="6" t="s">
        <v>1537</v>
      </c>
      <c r="C6" s="6" t="s">
        <v>899</v>
      </c>
      <c r="D6" s="6" t="str">
        <f>"0,6503"</f>
        <v>0,6503</v>
      </c>
      <c r="E6" s="6" t="s">
        <v>1219</v>
      </c>
      <c r="F6" s="6" t="s">
        <v>447</v>
      </c>
      <c r="G6" s="7" t="s">
        <v>23</v>
      </c>
      <c r="H6" s="30" t="s">
        <v>1483</v>
      </c>
      <c r="I6" s="6" t="str">
        <f>"2722,5"</f>
        <v>2722,5</v>
      </c>
      <c r="J6" s="7" t="str">
        <f>"1770,3057"</f>
        <v>1770,3057</v>
      </c>
      <c r="K6" s="6" t="s">
        <v>1230</v>
      </c>
    </row>
    <row r="8" spans="1:11" ht="15" x14ac:dyDescent="0.2">
      <c r="A8" s="35" t="s">
        <v>46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x14ac:dyDescent="0.2">
      <c r="A9" s="9" t="s">
        <v>1538</v>
      </c>
      <c r="B9" s="9" t="s">
        <v>1539</v>
      </c>
      <c r="C9" s="9" t="s">
        <v>50</v>
      </c>
      <c r="D9" s="9" t="str">
        <f>"0,6165"</f>
        <v>0,6165</v>
      </c>
      <c r="E9" s="9" t="s">
        <v>35</v>
      </c>
      <c r="F9" s="9" t="s">
        <v>36</v>
      </c>
      <c r="G9" s="10" t="s">
        <v>297</v>
      </c>
      <c r="H9" s="32" t="s">
        <v>1540</v>
      </c>
      <c r="I9" s="9" t="str">
        <f>"4140,0"</f>
        <v>4140,0</v>
      </c>
      <c r="J9" s="10" t="str">
        <f>"2552,1030"</f>
        <v>2552,1030</v>
      </c>
      <c r="K9" s="9" t="s">
        <v>1541</v>
      </c>
    </row>
    <row r="10" spans="1:11" x14ac:dyDescent="0.2">
      <c r="A10" s="12" t="s">
        <v>1538</v>
      </c>
      <c r="B10" s="12" t="s">
        <v>1542</v>
      </c>
      <c r="C10" s="12" t="s">
        <v>50</v>
      </c>
      <c r="D10" s="12" t="str">
        <f>"0,6165"</f>
        <v>0,6165</v>
      </c>
      <c r="E10" s="12" t="s">
        <v>35</v>
      </c>
      <c r="F10" s="12" t="s">
        <v>36</v>
      </c>
      <c r="G10" s="17" t="s">
        <v>297</v>
      </c>
      <c r="H10" s="34" t="s">
        <v>1540</v>
      </c>
      <c r="I10" s="12" t="str">
        <f>"4140,0"</f>
        <v>4140,0</v>
      </c>
      <c r="J10" s="17" t="str">
        <f>"2725,6461"</f>
        <v>2725,6461</v>
      </c>
      <c r="K10" s="12" t="s">
        <v>1541</v>
      </c>
    </row>
    <row r="12" spans="1:11" ht="15" x14ac:dyDescent="0.2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1" x14ac:dyDescent="0.2">
      <c r="A13" s="6" t="s">
        <v>1543</v>
      </c>
      <c r="B13" s="6" t="s">
        <v>1544</v>
      </c>
      <c r="C13" s="6" t="s">
        <v>1545</v>
      </c>
      <c r="D13" s="6" t="str">
        <f>"0,6040"</f>
        <v>0,6040</v>
      </c>
      <c r="E13" s="6" t="s">
        <v>18</v>
      </c>
      <c r="F13" s="6" t="s">
        <v>997</v>
      </c>
      <c r="G13" s="7" t="s">
        <v>66</v>
      </c>
      <c r="H13" s="30" t="s">
        <v>296</v>
      </c>
      <c r="I13" s="6" t="str">
        <f>"4162,5"</f>
        <v>4162,5</v>
      </c>
      <c r="J13" s="7" t="str">
        <f>"2514,1499"</f>
        <v>2514,1499</v>
      </c>
      <c r="K13" s="6" t="s">
        <v>1546</v>
      </c>
    </row>
    <row r="15" spans="1:11" ht="15" x14ac:dyDescent="0.2">
      <c r="A15" s="35" t="s">
        <v>93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1" x14ac:dyDescent="0.2">
      <c r="A16" s="6" t="s">
        <v>1547</v>
      </c>
      <c r="B16" s="6" t="s">
        <v>1548</v>
      </c>
      <c r="C16" s="6" t="s">
        <v>1549</v>
      </c>
      <c r="D16" s="6" t="str">
        <f>"0,5599"</f>
        <v>0,5599</v>
      </c>
      <c r="E16" s="6" t="s">
        <v>18</v>
      </c>
      <c r="F16" s="6" t="s">
        <v>708</v>
      </c>
      <c r="G16" s="7" t="s">
        <v>40</v>
      </c>
      <c r="H16" s="30" t="s">
        <v>1437</v>
      </c>
      <c r="I16" s="6" t="str">
        <f>"3037,5"</f>
        <v>3037,5</v>
      </c>
      <c r="J16" s="7" t="str">
        <f>"1700,6962"</f>
        <v>1700,6962</v>
      </c>
      <c r="K16" s="6" t="s">
        <v>144</v>
      </c>
    </row>
    <row r="18" spans="1:5" ht="15" x14ac:dyDescent="0.2">
      <c r="E18" s="18" t="s">
        <v>102</v>
      </c>
    </row>
    <row r="19" spans="1:5" ht="15" x14ac:dyDescent="0.2">
      <c r="E19" s="18" t="s">
        <v>103</v>
      </c>
    </row>
    <row r="20" spans="1:5" ht="15" x14ac:dyDescent="0.2">
      <c r="E20" s="18" t="s">
        <v>104</v>
      </c>
    </row>
    <row r="21" spans="1:5" ht="15" x14ac:dyDescent="0.2">
      <c r="E21" s="18" t="s">
        <v>105</v>
      </c>
    </row>
    <row r="22" spans="1:5" ht="15" x14ac:dyDescent="0.2">
      <c r="E22" s="18" t="s">
        <v>105</v>
      </c>
    </row>
    <row r="23" spans="1:5" ht="15" x14ac:dyDescent="0.2">
      <c r="E23" s="18" t="s">
        <v>106</v>
      </c>
    </row>
    <row r="24" spans="1:5" ht="15" x14ac:dyDescent="0.2">
      <c r="E24" s="18"/>
    </row>
    <row r="26" spans="1:5" ht="18" x14ac:dyDescent="0.25">
      <c r="A26" s="19" t="s">
        <v>107</v>
      </c>
      <c r="B26" s="19"/>
    </row>
    <row r="27" spans="1:5" ht="15" x14ac:dyDescent="0.2">
      <c r="A27" s="20" t="s">
        <v>118</v>
      </c>
      <c r="B27" s="20"/>
    </row>
    <row r="28" spans="1:5" ht="14.25" x14ac:dyDescent="0.2">
      <c r="A28" s="22"/>
      <c r="B28" s="23" t="s">
        <v>109</v>
      </c>
    </row>
    <row r="29" spans="1:5" ht="15" x14ac:dyDescent="0.2">
      <c r="A29" s="24" t="s">
        <v>110</v>
      </c>
      <c r="B29" s="24" t="s">
        <v>111</v>
      </c>
      <c r="C29" s="24" t="s">
        <v>112</v>
      </c>
      <c r="D29" s="24" t="s">
        <v>113</v>
      </c>
      <c r="E29" s="24" t="s">
        <v>1438</v>
      </c>
    </row>
    <row r="30" spans="1:5" x14ac:dyDescent="0.2">
      <c r="A30" s="21" t="s">
        <v>1550</v>
      </c>
      <c r="B30" s="4" t="s">
        <v>109</v>
      </c>
      <c r="C30" s="4" t="s">
        <v>131</v>
      </c>
      <c r="D30" s="4" t="s">
        <v>1551</v>
      </c>
      <c r="E30" s="25" t="s">
        <v>1552</v>
      </c>
    </row>
    <row r="31" spans="1:5" x14ac:dyDescent="0.2">
      <c r="A31" s="21" t="s">
        <v>1553</v>
      </c>
      <c r="B31" s="4" t="s">
        <v>109</v>
      </c>
      <c r="C31" s="4" t="s">
        <v>121</v>
      </c>
      <c r="D31" s="4" t="s">
        <v>1554</v>
      </c>
      <c r="E31" s="25" t="s">
        <v>1555</v>
      </c>
    </row>
    <row r="32" spans="1:5" x14ac:dyDescent="0.2">
      <c r="A32" s="21" t="s">
        <v>1556</v>
      </c>
      <c r="B32" s="4" t="s">
        <v>109</v>
      </c>
      <c r="C32" s="4" t="s">
        <v>134</v>
      </c>
      <c r="D32" s="4" t="s">
        <v>1557</v>
      </c>
      <c r="E32" s="25" t="s">
        <v>1558</v>
      </c>
    </row>
    <row r="33" spans="1:5" x14ac:dyDescent="0.2">
      <c r="A33" s="21" t="s">
        <v>1559</v>
      </c>
      <c r="B33" s="4" t="s">
        <v>109</v>
      </c>
      <c r="C33" s="4" t="s">
        <v>124</v>
      </c>
      <c r="D33" s="4" t="s">
        <v>1560</v>
      </c>
      <c r="E33" s="25" t="s">
        <v>1561</v>
      </c>
    </row>
    <row r="35" spans="1:5" ht="14.25" x14ac:dyDescent="0.2">
      <c r="A35" s="22"/>
      <c r="B35" s="23" t="s">
        <v>1521</v>
      </c>
    </row>
    <row r="36" spans="1:5" ht="15" x14ac:dyDescent="0.2">
      <c r="A36" s="24" t="s">
        <v>110</v>
      </c>
      <c r="B36" s="24" t="s">
        <v>111</v>
      </c>
      <c r="C36" s="24" t="s">
        <v>112</v>
      </c>
      <c r="D36" s="24" t="s">
        <v>113</v>
      </c>
      <c r="E36" s="24" t="s">
        <v>1438</v>
      </c>
    </row>
    <row r="37" spans="1:5" x14ac:dyDescent="0.2">
      <c r="A37" s="21" t="s">
        <v>1550</v>
      </c>
      <c r="B37" s="4" t="s">
        <v>1522</v>
      </c>
      <c r="C37" s="4" t="s">
        <v>131</v>
      </c>
      <c r="D37" s="4" t="s">
        <v>1551</v>
      </c>
      <c r="E37" s="25" t="s">
        <v>1562</v>
      </c>
    </row>
  </sheetData>
  <mergeCells count="15">
    <mergeCell ref="A5:J5"/>
    <mergeCell ref="A8:J8"/>
    <mergeCell ref="A12:J12"/>
    <mergeCell ref="A15:J1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6.140625" style="4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1.42578125" style="4" bestFit="1" customWidth="1"/>
    <col min="22" max="16384" width="9.140625" style="3"/>
  </cols>
  <sheetData>
    <row r="1" spans="1:21" s="2" customFormat="1" ht="29.1" customHeight="1" x14ac:dyDescent="0.2">
      <c r="A1" s="39" t="s">
        <v>1572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10</v>
      </c>
      <c r="H3" s="37"/>
      <c r="I3" s="37"/>
      <c r="J3" s="37"/>
      <c r="K3" s="37" t="s">
        <v>11</v>
      </c>
      <c r="L3" s="37"/>
      <c r="M3" s="37"/>
      <c r="N3" s="37"/>
      <c r="O3" s="37" t="s">
        <v>12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" x14ac:dyDescent="0.2">
      <c r="A5" s="36" t="s">
        <v>46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605</v>
      </c>
      <c r="B6" s="6" t="s">
        <v>606</v>
      </c>
      <c r="C6" s="6" t="s">
        <v>607</v>
      </c>
      <c r="D6" s="6" t="str">
        <f>"0,6637"</f>
        <v>0,6637</v>
      </c>
      <c r="E6" s="6" t="s">
        <v>18</v>
      </c>
      <c r="F6" s="6" t="s">
        <v>36</v>
      </c>
      <c r="G6" s="7" t="s">
        <v>193</v>
      </c>
      <c r="H6" s="7" t="s">
        <v>178</v>
      </c>
      <c r="I6" s="8" t="s">
        <v>143</v>
      </c>
      <c r="J6" s="8"/>
      <c r="K6" s="7" t="s">
        <v>98</v>
      </c>
      <c r="L6" s="7" t="s">
        <v>21</v>
      </c>
      <c r="M6" s="7" t="s">
        <v>22</v>
      </c>
      <c r="N6" s="8"/>
      <c r="O6" s="7" t="s">
        <v>51</v>
      </c>
      <c r="P6" s="8" t="s">
        <v>157</v>
      </c>
      <c r="Q6" s="8" t="s">
        <v>157</v>
      </c>
      <c r="R6" s="8"/>
      <c r="S6" s="6" t="str">
        <f>"600,0"</f>
        <v>600,0</v>
      </c>
      <c r="T6" s="7" t="str">
        <f>"398,2200"</f>
        <v>398,2200</v>
      </c>
      <c r="U6" s="6" t="s">
        <v>608</v>
      </c>
    </row>
    <row r="8" spans="1:21" ht="15" x14ac:dyDescent="0.2">
      <c r="E8" s="18" t="s">
        <v>102</v>
      </c>
    </row>
    <row r="9" spans="1:21" ht="15" x14ac:dyDescent="0.2">
      <c r="E9" s="18" t="s">
        <v>103</v>
      </c>
    </row>
    <row r="10" spans="1:21" ht="15" x14ac:dyDescent="0.2">
      <c r="E10" s="18" t="s">
        <v>104</v>
      </c>
    </row>
    <row r="11" spans="1:21" ht="15" x14ac:dyDescent="0.2">
      <c r="E11" s="18" t="s">
        <v>105</v>
      </c>
    </row>
    <row r="12" spans="1:21" ht="15" x14ac:dyDescent="0.2">
      <c r="E12" s="18" t="s">
        <v>105</v>
      </c>
    </row>
    <row r="13" spans="1:21" ht="15" x14ac:dyDescent="0.2">
      <c r="E13" s="18" t="s">
        <v>106</v>
      </c>
    </row>
    <row r="14" spans="1:21" ht="15" x14ac:dyDescent="0.2">
      <c r="E14" s="18"/>
    </row>
    <row r="16" spans="1:21" ht="18" x14ac:dyDescent="0.25">
      <c r="A16" s="19" t="s">
        <v>107</v>
      </c>
      <c r="B16" s="19"/>
    </row>
    <row r="17" spans="1:5" ht="15" x14ac:dyDescent="0.2">
      <c r="A17" s="20" t="s">
        <v>118</v>
      </c>
      <c r="B17" s="20"/>
    </row>
    <row r="18" spans="1:5" ht="14.25" x14ac:dyDescent="0.2">
      <c r="A18" s="22"/>
      <c r="B18" s="23" t="s">
        <v>109</v>
      </c>
    </row>
    <row r="19" spans="1:5" ht="15" x14ac:dyDescent="0.2">
      <c r="A19" s="24" t="s">
        <v>110</v>
      </c>
      <c r="B19" s="24" t="s">
        <v>111</v>
      </c>
      <c r="C19" s="24" t="s">
        <v>112</v>
      </c>
      <c r="D19" s="24" t="s">
        <v>113</v>
      </c>
      <c r="E19" s="24" t="s">
        <v>114</v>
      </c>
    </row>
    <row r="20" spans="1:5" x14ac:dyDescent="0.2">
      <c r="A20" s="21" t="s">
        <v>604</v>
      </c>
      <c r="B20" s="4" t="s">
        <v>109</v>
      </c>
      <c r="C20" s="4" t="s">
        <v>131</v>
      </c>
      <c r="D20" s="4" t="s">
        <v>609</v>
      </c>
      <c r="E20" s="25" t="s">
        <v>610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7.28515625" style="4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26.85546875" style="4" bestFit="1" customWidth="1"/>
    <col min="22" max="16384" width="9.140625" style="3"/>
  </cols>
  <sheetData>
    <row r="1" spans="1:21" s="2" customFormat="1" ht="29.1" customHeight="1" x14ac:dyDescent="0.2">
      <c r="A1" s="39" t="s">
        <v>1574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10</v>
      </c>
      <c r="H3" s="37"/>
      <c r="I3" s="37"/>
      <c r="J3" s="37"/>
      <c r="K3" s="37" t="s">
        <v>11</v>
      </c>
      <c r="L3" s="37"/>
      <c r="M3" s="37"/>
      <c r="N3" s="37"/>
      <c r="O3" s="37" t="s">
        <v>12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" x14ac:dyDescent="0.2">
      <c r="A5" s="36" t="s">
        <v>265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9" t="s">
        <v>267</v>
      </c>
      <c r="B6" s="9" t="s">
        <v>268</v>
      </c>
      <c r="C6" s="9" t="s">
        <v>269</v>
      </c>
      <c r="D6" s="9" t="str">
        <f>"1,1985"</f>
        <v>1,1985</v>
      </c>
      <c r="E6" s="9" t="s">
        <v>18</v>
      </c>
      <c r="F6" s="9" t="s">
        <v>36</v>
      </c>
      <c r="G6" s="10" t="s">
        <v>100</v>
      </c>
      <c r="H6" s="10" t="s">
        <v>270</v>
      </c>
      <c r="I6" s="10" t="s">
        <v>271</v>
      </c>
      <c r="J6" s="11"/>
      <c r="K6" s="10" t="s">
        <v>272</v>
      </c>
      <c r="L6" s="10" t="s">
        <v>273</v>
      </c>
      <c r="M6" s="10" t="s">
        <v>274</v>
      </c>
      <c r="N6" s="11"/>
      <c r="O6" s="10" t="s">
        <v>166</v>
      </c>
      <c r="P6" s="10" t="s">
        <v>167</v>
      </c>
      <c r="Q6" s="10" t="s">
        <v>275</v>
      </c>
      <c r="R6" s="11"/>
      <c r="S6" s="9" t="str">
        <f>"335,0"</f>
        <v>335,0</v>
      </c>
      <c r="T6" s="10" t="str">
        <f>"401,4975"</f>
        <v>401,4975</v>
      </c>
      <c r="U6" s="27" t="s">
        <v>1429</v>
      </c>
    </row>
    <row r="7" spans="1:21" x14ac:dyDescent="0.2">
      <c r="A7" s="14" t="s">
        <v>277</v>
      </c>
      <c r="B7" s="14" t="s">
        <v>278</v>
      </c>
      <c r="C7" s="14" t="s">
        <v>279</v>
      </c>
      <c r="D7" s="14" t="str">
        <f>"1,2123"</f>
        <v>1,2123</v>
      </c>
      <c r="E7" s="14" t="s">
        <v>18</v>
      </c>
      <c r="F7" s="14" t="s">
        <v>280</v>
      </c>
      <c r="G7" s="15" t="s">
        <v>24</v>
      </c>
      <c r="H7" s="15" t="s">
        <v>66</v>
      </c>
      <c r="I7" s="15" t="s">
        <v>99</v>
      </c>
      <c r="J7" s="16"/>
      <c r="K7" s="15" t="s">
        <v>281</v>
      </c>
      <c r="L7" s="15" t="s">
        <v>282</v>
      </c>
      <c r="M7" s="15" t="s">
        <v>283</v>
      </c>
      <c r="N7" s="16"/>
      <c r="O7" s="15" t="s">
        <v>284</v>
      </c>
      <c r="P7" s="15" t="s">
        <v>39</v>
      </c>
      <c r="Q7" s="16" t="s">
        <v>41</v>
      </c>
      <c r="R7" s="16"/>
      <c r="S7" s="14" t="str">
        <f>"260,0"</f>
        <v>260,0</v>
      </c>
      <c r="T7" s="15" t="str">
        <f>"315,1980"</f>
        <v>315,1980</v>
      </c>
      <c r="U7" s="14" t="s">
        <v>187</v>
      </c>
    </row>
    <row r="8" spans="1:21" x14ac:dyDescent="0.2">
      <c r="A8" s="12" t="s">
        <v>285</v>
      </c>
      <c r="B8" s="12" t="s">
        <v>286</v>
      </c>
      <c r="C8" s="12" t="s">
        <v>279</v>
      </c>
      <c r="D8" s="12" t="str">
        <f>"1,2123"</f>
        <v>1,2123</v>
      </c>
      <c r="E8" s="12" t="s">
        <v>18</v>
      </c>
      <c r="F8" s="12" t="s">
        <v>280</v>
      </c>
      <c r="G8" s="17" t="s">
        <v>24</v>
      </c>
      <c r="H8" s="17" t="s">
        <v>66</v>
      </c>
      <c r="I8" s="17" t="s">
        <v>99</v>
      </c>
      <c r="J8" s="13"/>
      <c r="K8" s="17" t="s">
        <v>281</v>
      </c>
      <c r="L8" s="17" t="s">
        <v>282</v>
      </c>
      <c r="M8" s="17" t="s">
        <v>283</v>
      </c>
      <c r="N8" s="13"/>
      <c r="O8" s="17" t="s">
        <v>284</v>
      </c>
      <c r="P8" s="17" t="s">
        <v>39</v>
      </c>
      <c r="Q8" s="13" t="s">
        <v>41</v>
      </c>
      <c r="R8" s="13"/>
      <c r="S8" s="12" t="str">
        <f>"260,0"</f>
        <v>260,0</v>
      </c>
      <c r="T8" s="17" t="str">
        <f>"336,6314"</f>
        <v>336,6314</v>
      </c>
      <c r="U8" s="12" t="s">
        <v>187</v>
      </c>
    </row>
    <row r="10" spans="1:21" ht="15" x14ac:dyDescent="0.2">
      <c r="A10" s="35" t="s">
        <v>287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1" x14ac:dyDescent="0.2">
      <c r="A11" s="6" t="s">
        <v>289</v>
      </c>
      <c r="B11" s="6" t="s">
        <v>290</v>
      </c>
      <c r="C11" s="6" t="s">
        <v>291</v>
      </c>
      <c r="D11" s="6" t="str">
        <f>"1,1355"</f>
        <v>1,1355</v>
      </c>
      <c r="E11" s="6" t="s">
        <v>18</v>
      </c>
      <c r="F11" s="6" t="s">
        <v>280</v>
      </c>
      <c r="G11" s="8" t="s">
        <v>292</v>
      </c>
      <c r="H11" s="7" t="s">
        <v>292</v>
      </c>
      <c r="I11" s="7" t="s">
        <v>293</v>
      </c>
      <c r="J11" s="8"/>
      <c r="K11" s="7" t="s">
        <v>294</v>
      </c>
      <c r="L11" s="7" t="s">
        <v>295</v>
      </c>
      <c r="M11" s="8" t="s">
        <v>296</v>
      </c>
      <c r="N11" s="8"/>
      <c r="O11" s="7" t="s">
        <v>65</v>
      </c>
      <c r="P11" s="7" t="s">
        <v>24</v>
      </c>
      <c r="Q11" s="7" t="s">
        <v>297</v>
      </c>
      <c r="R11" s="8"/>
      <c r="S11" s="6" t="str">
        <f>"207,5"</f>
        <v>207,5</v>
      </c>
      <c r="T11" s="7" t="str">
        <f>"235,6162"</f>
        <v>235,6162</v>
      </c>
      <c r="U11" s="6" t="s">
        <v>187</v>
      </c>
    </row>
    <row r="13" spans="1:21" ht="15" x14ac:dyDescent="0.2">
      <c r="A13" s="35" t="s">
        <v>137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1" x14ac:dyDescent="0.2">
      <c r="A14" s="9" t="s">
        <v>299</v>
      </c>
      <c r="B14" s="9" t="s">
        <v>300</v>
      </c>
      <c r="C14" s="9" t="s">
        <v>301</v>
      </c>
      <c r="D14" s="9" t="str">
        <f>"1,0551"</f>
        <v>1,0551</v>
      </c>
      <c r="E14" s="9" t="s">
        <v>18</v>
      </c>
      <c r="F14" s="9" t="s">
        <v>280</v>
      </c>
      <c r="G14" s="10" t="s">
        <v>99</v>
      </c>
      <c r="H14" s="10" t="s">
        <v>100</v>
      </c>
      <c r="I14" s="10" t="s">
        <v>270</v>
      </c>
      <c r="J14" s="11"/>
      <c r="K14" s="10" t="s">
        <v>302</v>
      </c>
      <c r="L14" s="11" t="s">
        <v>282</v>
      </c>
      <c r="M14" s="11" t="s">
        <v>282</v>
      </c>
      <c r="N14" s="11"/>
      <c r="O14" s="10" t="s">
        <v>297</v>
      </c>
      <c r="P14" s="10" t="s">
        <v>303</v>
      </c>
      <c r="Q14" s="11" t="s">
        <v>100</v>
      </c>
      <c r="R14" s="11"/>
      <c r="S14" s="9" t="str">
        <f>"270,0"</f>
        <v>270,0</v>
      </c>
      <c r="T14" s="10" t="str">
        <f>"284,8770"</f>
        <v>284,8770</v>
      </c>
      <c r="U14" s="9" t="s">
        <v>187</v>
      </c>
    </row>
    <row r="15" spans="1:21" x14ac:dyDescent="0.2">
      <c r="A15" s="12" t="s">
        <v>299</v>
      </c>
      <c r="B15" s="12" t="s">
        <v>304</v>
      </c>
      <c r="C15" s="12" t="s">
        <v>301</v>
      </c>
      <c r="D15" s="12" t="str">
        <f>"1,0551"</f>
        <v>1,0551</v>
      </c>
      <c r="E15" s="12" t="s">
        <v>18</v>
      </c>
      <c r="F15" s="12" t="s">
        <v>280</v>
      </c>
      <c r="G15" s="17" t="s">
        <v>99</v>
      </c>
      <c r="H15" s="17" t="s">
        <v>100</v>
      </c>
      <c r="I15" s="17" t="s">
        <v>270</v>
      </c>
      <c r="J15" s="13"/>
      <c r="K15" s="17" t="s">
        <v>302</v>
      </c>
      <c r="L15" s="13" t="s">
        <v>282</v>
      </c>
      <c r="M15" s="13" t="s">
        <v>282</v>
      </c>
      <c r="N15" s="13"/>
      <c r="O15" s="17" t="s">
        <v>297</v>
      </c>
      <c r="P15" s="17" t="s">
        <v>303</v>
      </c>
      <c r="Q15" s="13" t="s">
        <v>100</v>
      </c>
      <c r="R15" s="13"/>
      <c r="S15" s="12" t="str">
        <f>"270,0"</f>
        <v>270,0</v>
      </c>
      <c r="T15" s="17" t="str">
        <f>"284,8770"</f>
        <v>284,8770</v>
      </c>
      <c r="U15" s="12" t="s">
        <v>187</v>
      </c>
    </row>
    <row r="17" spans="1:21" ht="15" x14ac:dyDescent="0.2">
      <c r="A17" s="35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1" x14ac:dyDescent="0.2">
      <c r="A18" s="9" t="s">
        <v>306</v>
      </c>
      <c r="B18" s="9" t="s">
        <v>307</v>
      </c>
      <c r="C18" s="9" t="s">
        <v>308</v>
      </c>
      <c r="D18" s="9" t="str">
        <f>"0,9716"</f>
        <v>0,9716</v>
      </c>
      <c r="E18" s="9" t="s">
        <v>18</v>
      </c>
      <c r="F18" s="9" t="s">
        <v>36</v>
      </c>
      <c r="G18" s="10" t="s">
        <v>270</v>
      </c>
      <c r="H18" s="11" t="s">
        <v>271</v>
      </c>
      <c r="I18" s="11" t="s">
        <v>271</v>
      </c>
      <c r="J18" s="11"/>
      <c r="K18" s="10" t="s">
        <v>283</v>
      </c>
      <c r="L18" s="11" t="s">
        <v>273</v>
      </c>
      <c r="M18" s="11"/>
      <c r="N18" s="11"/>
      <c r="O18" s="10" t="s">
        <v>98</v>
      </c>
      <c r="P18" s="10" t="s">
        <v>20</v>
      </c>
      <c r="Q18" s="11" t="s">
        <v>275</v>
      </c>
      <c r="R18" s="11"/>
      <c r="S18" s="9" t="str">
        <f>"320,0"</f>
        <v>320,0</v>
      </c>
      <c r="T18" s="10" t="str">
        <f>"320,5503"</f>
        <v>320,5503</v>
      </c>
      <c r="U18" s="9" t="s">
        <v>80</v>
      </c>
    </row>
    <row r="19" spans="1:21" x14ac:dyDescent="0.2">
      <c r="A19" s="12" t="s">
        <v>310</v>
      </c>
      <c r="B19" s="12" t="s">
        <v>311</v>
      </c>
      <c r="C19" s="12" t="s">
        <v>312</v>
      </c>
      <c r="D19" s="12" t="str">
        <f>"0,9646"</f>
        <v>0,9646</v>
      </c>
      <c r="E19" s="12" t="s">
        <v>18</v>
      </c>
      <c r="F19" s="12" t="s">
        <v>36</v>
      </c>
      <c r="G19" s="13" t="s">
        <v>297</v>
      </c>
      <c r="H19" s="17" t="s">
        <v>297</v>
      </c>
      <c r="I19" s="13" t="s">
        <v>39</v>
      </c>
      <c r="J19" s="13"/>
      <c r="K19" s="17" t="s">
        <v>281</v>
      </c>
      <c r="L19" s="17" t="s">
        <v>283</v>
      </c>
      <c r="M19" s="17" t="s">
        <v>273</v>
      </c>
      <c r="N19" s="13"/>
      <c r="O19" s="17" t="s">
        <v>100</v>
      </c>
      <c r="P19" s="17" t="s">
        <v>270</v>
      </c>
      <c r="Q19" s="13" t="s">
        <v>166</v>
      </c>
      <c r="R19" s="13"/>
      <c r="S19" s="12" t="str">
        <f>"270,0"</f>
        <v>270,0</v>
      </c>
      <c r="T19" s="17" t="str">
        <f>"303,4149"</f>
        <v>303,4149</v>
      </c>
      <c r="U19" s="12" t="s">
        <v>313</v>
      </c>
    </row>
    <row r="21" spans="1:21" ht="15" x14ac:dyDescent="0.2">
      <c r="A21" s="35" t="s">
        <v>46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1" x14ac:dyDescent="0.2">
      <c r="A22" s="6" t="s">
        <v>315</v>
      </c>
      <c r="B22" s="6" t="s">
        <v>316</v>
      </c>
      <c r="C22" s="6" t="s">
        <v>317</v>
      </c>
      <c r="D22" s="6" t="str">
        <f>"0,8944"</f>
        <v>0,8944</v>
      </c>
      <c r="E22" s="6" t="s">
        <v>18</v>
      </c>
      <c r="F22" s="6" t="s">
        <v>280</v>
      </c>
      <c r="G22" s="7" t="s">
        <v>297</v>
      </c>
      <c r="H22" s="7" t="s">
        <v>99</v>
      </c>
      <c r="I22" s="7" t="s">
        <v>100</v>
      </c>
      <c r="J22" s="8"/>
      <c r="K22" s="7" t="s">
        <v>282</v>
      </c>
      <c r="L22" s="7" t="s">
        <v>272</v>
      </c>
      <c r="M22" s="8" t="s">
        <v>274</v>
      </c>
      <c r="N22" s="8"/>
      <c r="O22" s="7" t="s">
        <v>99</v>
      </c>
      <c r="P22" s="7" t="s">
        <v>100</v>
      </c>
      <c r="Q22" s="8" t="s">
        <v>270</v>
      </c>
      <c r="R22" s="8"/>
      <c r="S22" s="6" t="str">
        <f>"277,5"</f>
        <v>277,5</v>
      </c>
      <c r="T22" s="7" t="str">
        <f>"248,1960"</f>
        <v>248,1960</v>
      </c>
      <c r="U22" s="6" t="s">
        <v>187</v>
      </c>
    </row>
    <row r="24" spans="1:21" ht="15" x14ac:dyDescent="0.2">
      <c r="A24" s="35" t="s">
        <v>30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1" x14ac:dyDescent="0.2">
      <c r="A25" s="6" t="s">
        <v>319</v>
      </c>
      <c r="B25" s="6" t="s">
        <v>320</v>
      </c>
      <c r="C25" s="6" t="s">
        <v>321</v>
      </c>
      <c r="D25" s="6" t="str">
        <f>"0,6774"</f>
        <v>0,6774</v>
      </c>
      <c r="E25" s="6" t="s">
        <v>35</v>
      </c>
      <c r="F25" s="6" t="s">
        <v>36</v>
      </c>
      <c r="G25" s="7" t="s">
        <v>37</v>
      </c>
      <c r="H25" s="7" t="s">
        <v>76</v>
      </c>
      <c r="I25" s="7" t="s">
        <v>322</v>
      </c>
      <c r="J25" s="8"/>
      <c r="K25" s="7" t="s">
        <v>20</v>
      </c>
      <c r="L25" s="7" t="s">
        <v>323</v>
      </c>
      <c r="M25" s="8" t="s">
        <v>324</v>
      </c>
      <c r="N25" s="8"/>
      <c r="O25" s="7" t="s">
        <v>51</v>
      </c>
      <c r="P25" s="7" t="s">
        <v>193</v>
      </c>
      <c r="Q25" s="8" t="s">
        <v>52</v>
      </c>
      <c r="R25" s="8"/>
      <c r="S25" s="6" t="str">
        <f>"552,5"</f>
        <v>552,5</v>
      </c>
      <c r="T25" s="7" t="str">
        <f>"374,2635"</f>
        <v>374,2635</v>
      </c>
      <c r="U25" s="6" t="s">
        <v>325</v>
      </c>
    </row>
    <row r="27" spans="1:21" ht="15" x14ac:dyDescent="0.2">
      <c r="A27" s="35" t="s">
        <v>46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1" x14ac:dyDescent="0.2">
      <c r="A28" s="9" t="s">
        <v>327</v>
      </c>
      <c r="B28" s="9" t="s">
        <v>328</v>
      </c>
      <c r="C28" s="9" t="s">
        <v>329</v>
      </c>
      <c r="D28" s="9" t="str">
        <f>"0,6398"</f>
        <v>0,6398</v>
      </c>
      <c r="E28" s="9" t="s">
        <v>18</v>
      </c>
      <c r="F28" s="9" t="s">
        <v>330</v>
      </c>
      <c r="G28" s="10" t="s">
        <v>331</v>
      </c>
      <c r="H28" s="10" t="s">
        <v>164</v>
      </c>
      <c r="I28" s="11" t="s">
        <v>165</v>
      </c>
      <c r="J28" s="11"/>
      <c r="K28" s="10" t="s">
        <v>20</v>
      </c>
      <c r="L28" s="10" t="s">
        <v>323</v>
      </c>
      <c r="M28" s="10" t="s">
        <v>324</v>
      </c>
      <c r="N28" s="11"/>
      <c r="O28" s="10" t="s">
        <v>53</v>
      </c>
      <c r="P28" s="10" t="s">
        <v>331</v>
      </c>
      <c r="Q28" s="10" t="s">
        <v>52</v>
      </c>
      <c r="R28" s="11"/>
      <c r="S28" s="9" t="str">
        <f>"620,0"</f>
        <v>620,0</v>
      </c>
      <c r="T28" s="10" t="str">
        <f>"396,6760"</f>
        <v>396,6760</v>
      </c>
      <c r="U28" s="9" t="s">
        <v>332</v>
      </c>
    </row>
    <row r="29" spans="1:21" x14ac:dyDescent="0.2">
      <c r="A29" s="14" t="s">
        <v>334</v>
      </c>
      <c r="B29" s="14" t="s">
        <v>335</v>
      </c>
      <c r="C29" s="14" t="s">
        <v>336</v>
      </c>
      <c r="D29" s="14" t="str">
        <f>"0,6479"</f>
        <v>0,6479</v>
      </c>
      <c r="E29" s="14" t="s">
        <v>18</v>
      </c>
      <c r="F29" s="14" t="s">
        <v>36</v>
      </c>
      <c r="G29" s="15" t="s">
        <v>51</v>
      </c>
      <c r="H29" s="15" t="s">
        <v>52</v>
      </c>
      <c r="I29" s="16" t="s">
        <v>143</v>
      </c>
      <c r="J29" s="16"/>
      <c r="K29" s="15" t="s">
        <v>166</v>
      </c>
      <c r="L29" s="15" t="s">
        <v>98</v>
      </c>
      <c r="M29" s="15" t="s">
        <v>20</v>
      </c>
      <c r="N29" s="16"/>
      <c r="O29" s="15" t="s">
        <v>53</v>
      </c>
      <c r="P29" s="15" t="s">
        <v>43</v>
      </c>
      <c r="Q29" s="15" t="s">
        <v>337</v>
      </c>
      <c r="R29" s="16"/>
      <c r="S29" s="14" t="str">
        <f>"602,5"</f>
        <v>602,5</v>
      </c>
      <c r="T29" s="15" t="str">
        <f>"390,3597"</f>
        <v>390,3597</v>
      </c>
      <c r="U29" s="14" t="s">
        <v>338</v>
      </c>
    </row>
    <row r="30" spans="1:21" x14ac:dyDescent="0.2">
      <c r="A30" s="14" t="s">
        <v>340</v>
      </c>
      <c r="B30" s="14" t="s">
        <v>341</v>
      </c>
      <c r="C30" s="14" t="s">
        <v>342</v>
      </c>
      <c r="D30" s="14" t="str">
        <f>"0,6601"</f>
        <v>0,6601</v>
      </c>
      <c r="E30" s="14" t="s">
        <v>18</v>
      </c>
      <c r="F30" s="14" t="s">
        <v>343</v>
      </c>
      <c r="G30" s="16" t="s">
        <v>21</v>
      </c>
      <c r="H30" s="16" t="s">
        <v>21</v>
      </c>
      <c r="I30" s="15" t="s">
        <v>21</v>
      </c>
      <c r="J30" s="16"/>
      <c r="K30" s="16" t="s">
        <v>166</v>
      </c>
      <c r="L30" s="16" t="s">
        <v>166</v>
      </c>
      <c r="M30" s="15" t="s">
        <v>166</v>
      </c>
      <c r="N30" s="16"/>
      <c r="O30" s="16" t="s">
        <v>51</v>
      </c>
      <c r="P30" s="15" t="s">
        <v>51</v>
      </c>
      <c r="Q30" s="16" t="s">
        <v>149</v>
      </c>
      <c r="R30" s="16"/>
      <c r="S30" s="14" t="str">
        <f>"485,0"</f>
        <v>485,0</v>
      </c>
      <c r="T30" s="15" t="str">
        <f>"320,1485"</f>
        <v>320,1485</v>
      </c>
      <c r="U30" s="14" t="s">
        <v>344</v>
      </c>
    </row>
    <row r="31" spans="1:21" x14ac:dyDescent="0.2">
      <c r="A31" s="14" t="s">
        <v>345</v>
      </c>
      <c r="B31" s="14" t="s">
        <v>346</v>
      </c>
      <c r="C31" s="14" t="s">
        <v>336</v>
      </c>
      <c r="D31" s="14" t="str">
        <f>"0,6479"</f>
        <v>0,6479</v>
      </c>
      <c r="E31" s="14" t="s">
        <v>18</v>
      </c>
      <c r="F31" s="14" t="s">
        <v>36</v>
      </c>
      <c r="G31" s="15" t="s">
        <v>51</v>
      </c>
      <c r="H31" s="15" t="s">
        <v>52</v>
      </c>
      <c r="I31" s="16" t="s">
        <v>143</v>
      </c>
      <c r="J31" s="16"/>
      <c r="K31" s="15" t="s">
        <v>166</v>
      </c>
      <c r="L31" s="15" t="s">
        <v>98</v>
      </c>
      <c r="M31" s="15" t="s">
        <v>20</v>
      </c>
      <c r="N31" s="16"/>
      <c r="O31" s="15" t="s">
        <v>53</v>
      </c>
      <c r="P31" s="15" t="s">
        <v>43</v>
      </c>
      <c r="Q31" s="15" t="s">
        <v>337</v>
      </c>
      <c r="R31" s="16"/>
      <c r="S31" s="14" t="str">
        <f>"602,5"</f>
        <v>602,5</v>
      </c>
      <c r="T31" s="15" t="str">
        <f>"398,1669"</f>
        <v>398,1669</v>
      </c>
      <c r="U31" s="14" t="s">
        <v>338</v>
      </c>
    </row>
    <row r="32" spans="1:21" x14ac:dyDescent="0.2">
      <c r="A32" s="14" t="s">
        <v>348</v>
      </c>
      <c r="B32" s="14" t="s">
        <v>349</v>
      </c>
      <c r="C32" s="14" t="s">
        <v>350</v>
      </c>
      <c r="D32" s="14" t="str">
        <f>"0,6507"</f>
        <v>0,6507</v>
      </c>
      <c r="E32" s="14" t="s">
        <v>35</v>
      </c>
      <c r="F32" s="14" t="s">
        <v>36</v>
      </c>
      <c r="G32" s="15" t="s">
        <v>21</v>
      </c>
      <c r="H32" s="15" t="s">
        <v>67</v>
      </c>
      <c r="I32" s="15" t="s">
        <v>37</v>
      </c>
      <c r="J32" s="16"/>
      <c r="K32" s="15" t="s">
        <v>297</v>
      </c>
      <c r="L32" s="15" t="s">
        <v>284</v>
      </c>
      <c r="M32" s="15" t="s">
        <v>99</v>
      </c>
      <c r="N32" s="16"/>
      <c r="O32" s="15" t="s">
        <v>21</v>
      </c>
      <c r="P32" s="15" t="s">
        <v>67</v>
      </c>
      <c r="Q32" s="15" t="s">
        <v>26</v>
      </c>
      <c r="R32" s="16"/>
      <c r="S32" s="14" t="str">
        <f>"435,0"</f>
        <v>435,0</v>
      </c>
      <c r="T32" s="15" t="str">
        <f>"285,8850"</f>
        <v>285,8850</v>
      </c>
      <c r="U32" s="14" t="s">
        <v>351</v>
      </c>
    </row>
    <row r="33" spans="1:21" x14ac:dyDescent="0.2">
      <c r="A33" s="12" t="s">
        <v>353</v>
      </c>
      <c r="B33" s="12" t="s">
        <v>354</v>
      </c>
      <c r="C33" s="12" t="s">
        <v>355</v>
      </c>
      <c r="D33" s="12" t="str">
        <f>"0,6536"</f>
        <v>0,6536</v>
      </c>
      <c r="E33" s="12" t="s">
        <v>18</v>
      </c>
      <c r="F33" s="12" t="s">
        <v>343</v>
      </c>
      <c r="G33" s="13" t="s">
        <v>21</v>
      </c>
      <c r="H33" s="17" t="s">
        <v>21</v>
      </c>
      <c r="I33" s="17" t="s">
        <v>67</v>
      </c>
      <c r="J33" s="13"/>
      <c r="K33" s="17" t="s">
        <v>100</v>
      </c>
      <c r="L33" s="13" t="s">
        <v>41</v>
      </c>
      <c r="M33" s="13" t="s">
        <v>41</v>
      </c>
      <c r="N33" s="13"/>
      <c r="O33" s="13" t="s">
        <v>67</v>
      </c>
      <c r="P33" s="17" t="s">
        <v>67</v>
      </c>
      <c r="Q33" s="17" t="s">
        <v>26</v>
      </c>
      <c r="R33" s="13"/>
      <c r="S33" s="12" t="str">
        <f>"440,0"</f>
        <v>440,0</v>
      </c>
      <c r="T33" s="17" t="str">
        <f>"416,9968"</f>
        <v>416,9968</v>
      </c>
      <c r="U33" s="12" t="s">
        <v>356</v>
      </c>
    </row>
    <row r="35" spans="1:21" ht="15" x14ac:dyDescent="0.2">
      <c r="A35" s="35" t="s">
        <v>58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1" x14ac:dyDescent="0.2">
      <c r="A36" s="9" t="s">
        <v>358</v>
      </c>
      <c r="B36" s="9" t="s">
        <v>359</v>
      </c>
      <c r="C36" s="9" t="s">
        <v>360</v>
      </c>
      <c r="D36" s="9" t="str">
        <f>"0,6139"</f>
        <v>0,6139</v>
      </c>
      <c r="E36" s="9" t="s">
        <v>18</v>
      </c>
      <c r="F36" s="9" t="s">
        <v>36</v>
      </c>
      <c r="G36" s="11" t="s">
        <v>157</v>
      </c>
      <c r="H36" s="11" t="s">
        <v>157</v>
      </c>
      <c r="I36" s="10" t="s">
        <v>337</v>
      </c>
      <c r="J36" s="11" t="s">
        <v>164</v>
      </c>
      <c r="K36" s="10" t="s">
        <v>166</v>
      </c>
      <c r="L36" s="11" t="s">
        <v>98</v>
      </c>
      <c r="M36" s="10" t="s">
        <v>98</v>
      </c>
      <c r="N36" s="11"/>
      <c r="O36" s="11" t="s">
        <v>43</v>
      </c>
      <c r="P36" s="11" t="s">
        <v>43</v>
      </c>
      <c r="Q36" s="10" t="s">
        <v>43</v>
      </c>
      <c r="R36" s="11"/>
      <c r="S36" s="9" t="str">
        <f>"587,5"</f>
        <v>587,5</v>
      </c>
      <c r="T36" s="10" t="str">
        <f>"360,6663"</f>
        <v>360,6663</v>
      </c>
      <c r="U36" s="9" t="s">
        <v>361</v>
      </c>
    </row>
    <row r="37" spans="1:21" x14ac:dyDescent="0.2">
      <c r="A37" s="12" t="s">
        <v>363</v>
      </c>
      <c r="B37" s="12" t="s">
        <v>364</v>
      </c>
      <c r="C37" s="12" t="s">
        <v>365</v>
      </c>
      <c r="D37" s="12" t="str">
        <f>"0,6121"</f>
        <v>0,6121</v>
      </c>
      <c r="E37" s="12" t="s">
        <v>18</v>
      </c>
      <c r="F37" s="12" t="s">
        <v>36</v>
      </c>
      <c r="G37" s="17" t="s">
        <v>51</v>
      </c>
      <c r="H37" s="13" t="s">
        <v>43</v>
      </c>
      <c r="I37" s="13" t="s">
        <v>43</v>
      </c>
      <c r="J37" s="13"/>
      <c r="K37" s="17" t="s">
        <v>98</v>
      </c>
      <c r="L37" s="13" t="s">
        <v>21</v>
      </c>
      <c r="M37" s="17" t="s">
        <v>21</v>
      </c>
      <c r="N37" s="13"/>
      <c r="O37" s="17" t="s">
        <v>42</v>
      </c>
      <c r="P37" s="17" t="s">
        <v>51</v>
      </c>
      <c r="Q37" s="17" t="s">
        <v>149</v>
      </c>
      <c r="R37" s="13"/>
      <c r="S37" s="12" t="str">
        <f>"555,0"</f>
        <v>555,0</v>
      </c>
      <c r="T37" s="17" t="str">
        <f>"346,5098"</f>
        <v>346,5098</v>
      </c>
      <c r="U37" s="12" t="s">
        <v>366</v>
      </c>
    </row>
    <row r="39" spans="1:21" ht="15" x14ac:dyDescent="0.2">
      <c r="A39" s="35" t="s">
        <v>253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1" x14ac:dyDescent="0.2">
      <c r="A40" s="6" t="s">
        <v>367</v>
      </c>
      <c r="B40" s="6" t="s">
        <v>368</v>
      </c>
      <c r="C40" s="6" t="s">
        <v>369</v>
      </c>
      <c r="D40" s="6" t="str">
        <f>"0,5916"</f>
        <v>0,5916</v>
      </c>
      <c r="E40" s="6" t="s">
        <v>35</v>
      </c>
      <c r="F40" s="6" t="s">
        <v>36</v>
      </c>
      <c r="G40" s="8" t="s">
        <v>51</v>
      </c>
      <c r="H40" s="7" t="s">
        <v>51</v>
      </c>
      <c r="I40" s="8" t="s">
        <v>43</v>
      </c>
      <c r="J40" s="8"/>
      <c r="K40" s="8" t="s">
        <v>271</v>
      </c>
      <c r="L40" s="8" t="s">
        <v>271</v>
      </c>
      <c r="M40" s="8"/>
      <c r="N40" s="8"/>
      <c r="O40" s="8" t="s">
        <v>142</v>
      </c>
      <c r="P40" s="8"/>
      <c r="Q40" s="8"/>
      <c r="R40" s="8"/>
      <c r="S40" s="6" t="str">
        <f>"0.00"</f>
        <v>0.00</v>
      </c>
      <c r="T40" s="7" t="str">
        <f>"0,0000"</f>
        <v>0,0000</v>
      </c>
      <c r="U40" s="6" t="s">
        <v>370</v>
      </c>
    </row>
    <row r="42" spans="1:21" ht="15" x14ac:dyDescent="0.2">
      <c r="A42" s="35" t="s">
        <v>93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1" x14ac:dyDescent="0.2">
      <c r="A43" s="9" t="s">
        <v>372</v>
      </c>
      <c r="B43" s="9" t="s">
        <v>373</v>
      </c>
      <c r="C43" s="9" t="s">
        <v>374</v>
      </c>
      <c r="D43" s="9" t="str">
        <f>"0,5765"</f>
        <v>0,5765</v>
      </c>
      <c r="E43" s="9" t="s">
        <v>375</v>
      </c>
      <c r="F43" s="9" t="s">
        <v>376</v>
      </c>
      <c r="G43" s="10" t="s">
        <v>143</v>
      </c>
      <c r="H43" s="10" t="s">
        <v>73</v>
      </c>
      <c r="I43" s="10" t="s">
        <v>78</v>
      </c>
      <c r="J43" s="11"/>
      <c r="K43" s="10" t="s">
        <v>67</v>
      </c>
      <c r="L43" s="10" t="s">
        <v>28</v>
      </c>
      <c r="M43" s="10" t="s">
        <v>42</v>
      </c>
      <c r="N43" s="11"/>
      <c r="O43" s="10" t="s">
        <v>142</v>
      </c>
      <c r="P43" s="10" t="s">
        <v>85</v>
      </c>
      <c r="Q43" s="11" t="s">
        <v>87</v>
      </c>
      <c r="R43" s="11"/>
      <c r="S43" s="9" t="str">
        <f>"745,0"</f>
        <v>745,0</v>
      </c>
      <c r="T43" s="10" t="str">
        <f>"429,4925"</f>
        <v>429,4925</v>
      </c>
      <c r="U43" s="9" t="s">
        <v>377</v>
      </c>
    </row>
    <row r="44" spans="1:21" x14ac:dyDescent="0.2">
      <c r="A44" s="14" t="s">
        <v>379</v>
      </c>
      <c r="B44" s="14" t="s">
        <v>380</v>
      </c>
      <c r="C44" s="14" t="s">
        <v>381</v>
      </c>
      <c r="D44" s="14" t="str">
        <f>"0,5707"</f>
        <v>0,5707</v>
      </c>
      <c r="E44" s="14" t="s">
        <v>18</v>
      </c>
      <c r="F44" s="14" t="s">
        <v>36</v>
      </c>
      <c r="G44" s="16" t="s">
        <v>186</v>
      </c>
      <c r="H44" s="15" t="s">
        <v>165</v>
      </c>
      <c r="I44" s="15" t="s">
        <v>143</v>
      </c>
      <c r="J44" s="16"/>
      <c r="K44" s="15" t="s">
        <v>26</v>
      </c>
      <c r="L44" s="15" t="s">
        <v>27</v>
      </c>
      <c r="M44" s="16" t="s">
        <v>322</v>
      </c>
      <c r="N44" s="16"/>
      <c r="O44" s="15" t="s">
        <v>178</v>
      </c>
      <c r="P44" s="15" t="s">
        <v>179</v>
      </c>
      <c r="Q44" s="16" t="s">
        <v>259</v>
      </c>
      <c r="R44" s="16"/>
      <c r="S44" s="14" t="str">
        <f>"682,5"</f>
        <v>682,5</v>
      </c>
      <c r="T44" s="15" t="str">
        <f>"389,5027"</f>
        <v>389,5027</v>
      </c>
      <c r="U44" s="14" t="s">
        <v>187</v>
      </c>
    </row>
    <row r="45" spans="1:21" x14ac:dyDescent="0.2">
      <c r="A45" s="14" t="s">
        <v>383</v>
      </c>
      <c r="B45" s="14" t="s">
        <v>384</v>
      </c>
      <c r="C45" s="14" t="s">
        <v>385</v>
      </c>
      <c r="D45" s="14" t="str">
        <f>"0,5782"</f>
        <v>0,5782</v>
      </c>
      <c r="E45" s="14" t="s">
        <v>18</v>
      </c>
      <c r="F45" s="14" t="s">
        <v>148</v>
      </c>
      <c r="G45" s="15" t="s">
        <v>142</v>
      </c>
      <c r="H45" s="15" t="s">
        <v>143</v>
      </c>
      <c r="I45" s="15" t="s">
        <v>85</v>
      </c>
      <c r="J45" s="16"/>
      <c r="K45" s="15" t="s">
        <v>20</v>
      </c>
      <c r="L45" s="15" t="s">
        <v>323</v>
      </c>
      <c r="M45" s="15" t="s">
        <v>67</v>
      </c>
      <c r="N45" s="16"/>
      <c r="O45" s="15" t="s">
        <v>52</v>
      </c>
      <c r="P45" s="15" t="s">
        <v>142</v>
      </c>
      <c r="Q45" s="15" t="s">
        <v>143</v>
      </c>
      <c r="R45" s="16"/>
      <c r="S45" s="14" t="str">
        <f>"670,0"</f>
        <v>670,0</v>
      </c>
      <c r="T45" s="15" t="str">
        <f>"387,3940"</f>
        <v>387,3940</v>
      </c>
      <c r="U45" s="14" t="s">
        <v>386</v>
      </c>
    </row>
    <row r="46" spans="1:21" x14ac:dyDescent="0.2">
      <c r="A46" s="12" t="s">
        <v>387</v>
      </c>
      <c r="B46" s="12" t="s">
        <v>388</v>
      </c>
      <c r="C46" s="12" t="s">
        <v>385</v>
      </c>
      <c r="D46" s="12" t="str">
        <f>"0,5782"</f>
        <v>0,5782</v>
      </c>
      <c r="E46" s="12" t="s">
        <v>18</v>
      </c>
      <c r="F46" s="12" t="s">
        <v>148</v>
      </c>
      <c r="G46" s="17" t="s">
        <v>142</v>
      </c>
      <c r="H46" s="17" t="s">
        <v>143</v>
      </c>
      <c r="I46" s="17" t="s">
        <v>85</v>
      </c>
      <c r="J46" s="13"/>
      <c r="K46" s="17" t="s">
        <v>20</v>
      </c>
      <c r="L46" s="17" t="s">
        <v>323</v>
      </c>
      <c r="M46" s="17" t="s">
        <v>67</v>
      </c>
      <c r="N46" s="13"/>
      <c r="O46" s="17" t="s">
        <v>52</v>
      </c>
      <c r="P46" s="17" t="s">
        <v>142</v>
      </c>
      <c r="Q46" s="17" t="s">
        <v>143</v>
      </c>
      <c r="R46" s="13"/>
      <c r="S46" s="12" t="str">
        <f>"670,0"</f>
        <v>670,0</v>
      </c>
      <c r="T46" s="17" t="str">
        <f>"408,7007"</f>
        <v>408,7007</v>
      </c>
      <c r="U46" s="12" t="s">
        <v>386</v>
      </c>
    </row>
    <row r="48" spans="1:21" ht="15" x14ac:dyDescent="0.2">
      <c r="E48" s="18" t="s">
        <v>102</v>
      </c>
    </row>
    <row r="49" spans="1:5" ht="15" x14ac:dyDescent="0.2">
      <c r="E49" s="18" t="s">
        <v>103</v>
      </c>
    </row>
    <row r="50" spans="1:5" ht="15" x14ac:dyDescent="0.2">
      <c r="E50" s="18" t="s">
        <v>104</v>
      </c>
    </row>
    <row r="51" spans="1:5" ht="15" x14ac:dyDescent="0.2">
      <c r="E51" s="18" t="s">
        <v>105</v>
      </c>
    </row>
    <row r="52" spans="1:5" ht="15" x14ac:dyDescent="0.2">
      <c r="E52" s="18" t="s">
        <v>105</v>
      </c>
    </row>
    <row r="53" spans="1:5" ht="15" x14ac:dyDescent="0.2">
      <c r="E53" s="18" t="s">
        <v>106</v>
      </c>
    </row>
    <row r="54" spans="1:5" ht="15" x14ac:dyDescent="0.2">
      <c r="E54" s="18"/>
    </row>
    <row r="56" spans="1:5" ht="18" x14ac:dyDescent="0.25">
      <c r="A56" s="19" t="s">
        <v>107</v>
      </c>
      <c r="B56" s="19"/>
    </row>
    <row r="57" spans="1:5" ht="15" x14ac:dyDescent="0.2">
      <c r="A57" s="20" t="s">
        <v>108</v>
      </c>
      <c r="B57" s="20"/>
    </row>
    <row r="58" spans="1:5" ht="14.25" x14ac:dyDescent="0.2">
      <c r="A58" s="22"/>
      <c r="B58" s="23" t="s">
        <v>389</v>
      </c>
    </row>
    <row r="59" spans="1:5" ht="15" x14ac:dyDescent="0.2">
      <c r="A59" s="24" t="s">
        <v>110</v>
      </c>
      <c r="B59" s="24" t="s">
        <v>111</v>
      </c>
      <c r="C59" s="24" t="s">
        <v>112</v>
      </c>
      <c r="D59" s="24" t="s">
        <v>113</v>
      </c>
      <c r="E59" s="24" t="s">
        <v>114</v>
      </c>
    </row>
    <row r="60" spans="1:5" x14ac:dyDescent="0.2">
      <c r="A60" s="21" t="s">
        <v>298</v>
      </c>
      <c r="B60" s="4" t="s">
        <v>209</v>
      </c>
      <c r="C60" s="4" t="s">
        <v>212</v>
      </c>
      <c r="D60" s="4" t="s">
        <v>86</v>
      </c>
      <c r="E60" s="25" t="s">
        <v>390</v>
      </c>
    </row>
    <row r="62" spans="1:5" ht="14.25" x14ac:dyDescent="0.2">
      <c r="A62" s="22"/>
      <c r="B62" s="23" t="s">
        <v>109</v>
      </c>
    </row>
    <row r="63" spans="1:5" ht="15" x14ac:dyDescent="0.2">
      <c r="A63" s="24" t="s">
        <v>110</v>
      </c>
      <c r="B63" s="24" t="s">
        <v>111</v>
      </c>
      <c r="C63" s="24" t="s">
        <v>112</v>
      </c>
      <c r="D63" s="24" t="s">
        <v>113</v>
      </c>
      <c r="E63" s="24" t="s">
        <v>114</v>
      </c>
    </row>
    <row r="64" spans="1:5" x14ac:dyDescent="0.2">
      <c r="A64" s="21" t="s">
        <v>266</v>
      </c>
      <c r="B64" s="4" t="s">
        <v>109</v>
      </c>
      <c r="C64" s="4" t="s">
        <v>391</v>
      </c>
      <c r="D64" s="4" t="s">
        <v>392</v>
      </c>
      <c r="E64" s="25" t="s">
        <v>393</v>
      </c>
    </row>
    <row r="65" spans="1:5" x14ac:dyDescent="0.2">
      <c r="A65" s="21" t="s">
        <v>276</v>
      </c>
      <c r="B65" s="4" t="s">
        <v>109</v>
      </c>
      <c r="C65" s="4" t="s">
        <v>391</v>
      </c>
      <c r="D65" s="4" t="s">
        <v>85</v>
      </c>
      <c r="E65" s="25" t="s">
        <v>394</v>
      </c>
    </row>
    <row r="66" spans="1:5" x14ac:dyDescent="0.2">
      <c r="A66" s="21" t="s">
        <v>298</v>
      </c>
      <c r="B66" s="4" t="s">
        <v>109</v>
      </c>
      <c r="C66" s="4" t="s">
        <v>212</v>
      </c>
      <c r="D66" s="4" t="s">
        <v>86</v>
      </c>
      <c r="E66" s="25" t="s">
        <v>390</v>
      </c>
    </row>
    <row r="67" spans="1:5" x14ac:dyDescent="0.2">
      <c r="A67" s="21" t="s">
        <v>314</v>
      </c>
      <c r="B67" s="4" t="s">
        <v>109</v>
      </c>
      <c r="C67" s="4" t="s">
        <v>131</v>
      </c>
      <c r="D67" s="4" t="s">
        <v>247</v>
      </c>
      <c r="E67" s="25" t="s">
        <v>395</v>
      </c>
    </row>
    <row r="68" spans="1:5" x14ac:dyDescent="0.2">
      <c r="A68" s="21" t="s">
        <v>288</v>
      </c>
      <c r="B68" s="4" t="s">
        <v>109</v>
      </c>
      <c r="C68" s="4" t="s">
        <v>396</v>
      </c>
      <c r="D68" s="4" t="s">
        <v>397</v>
      </c>
      <c r="E68" s="25" t="s">
        <v>398</v>
      </c>
    </row>
    <row r="70" spans="1:5" ht="14.25" x14ac:dyDescent="0.2">
      <c r="A70" s="22"/>
      <c r="B70" s="23" t="s">
        <v>227</v>
      </c>
    </row>
    <row r="71" spans="1:5" ht="15" x14ac:dyDescent="0.2">
      <c r="A71" s="24" t="s">
        <v>110</v>
      </c>
      <c r="B71" s="24" t="s">
        <v>111</v>
      </c>
      <c r="C71" s="24" t="s">
        <v>112</v>
      </c>
      <c r="D71" s="24" t="s">
        <v>113</v>
      </c>
      <c r="E71" s="24" t="s">
        <v>114</v>
      </c>
    </row>
    <row r="72" spans="1:5" x14ac:dyDescent="0.2">
      <c r="A72" s="21" t="s">
        <v>276</v>
      </c>
      <c r="B72" s="4" t="s">
        <v>399</v>
      </c>
      <c r="C72" s="4" t="s">
        <v>391</v>
      </c>
      <c r="D72" s="4" t="s">
        <v>85</v>
      </c>
      <c r="E72" s="25" t="s">
        <v>400</v>
      </c>
    </row>
    <row r="73" spans="1:5" x14ac:dyDescent="0.2">
      <c r="A73" s="21" t="s">
        <v>305</v>
      </c>
      <c r="B73" s="4" t="s">
        <v>228</v>
      </c>
      <c r="C73" s="4" t="s">
        <v>115</v>
      </c>
      <c r="D73" s="4" t="s">
        <v>401</v>
      </c>
      <c r="E73" s="25" t="s">
        <v>402</v>
      </c>
    </row>
    <row r="74" spans="1:5" x14ac:dyDescent="0.2">
      <c r="A74" s="21" t="s">
        <v>309</v>
      </c>
      <c r="B74" s="4" t="s">
        <v>403</v>
      </c>
      <c r="C74" s="4" t="s">
        <v>115</v>
      </c>
      <c r="D74" s="4" t="s">
        <v>86</v>
      </c>
      <c r="E74" s="25" t="s">
        <v>404</v>
      </c>
    </row>
    <row r="77" spans="1:5" ht="15" x14ac:dyDescent="0.2">
      <c r="A77" s="20" t="s">
        <v>118</v>
      </c>
      <c r="B77" s="20"/>
    </row>
    <row r="78" spans="1:5" ht="14.25" x14ac:dyDescent="0.2">
      <c r="A78" s="22"/>
      <c r="B78" s="23" t="s">
        <v>109</v>
      </c>
    </row>
    <row r="79" spans="1:5" ht="15" x14ac:dyDescent="0.2">
      <c r="A79" s="24" t="s">
        <v>110</v>
      </c>
      <c r="B79" s="24" t="s">
        <v>111</v>
      </c>
      <c r="C79" s="24" t="s">
        <v>112</v>
      </c>
      <c r="D79" s="24" t="s">
        <v>113</v>
      </c>
      <c r="E79" s="24" t="s">
        <v>114</v>
      </c>
    </row>
    <row r="80" spans="1:5" x14ac:dyDescent="0.2">
      <c r="A80" s="21" t="s">
        <v>371</v>
      </c>
      <c r="B80" s="4" t="s">
        <v>109</v>
      </c>
      <c r="C80" s="4" t="s">
        <v>124</v>
      </c>
      <c r="D80" s="4" t="s">
        <v>405</v>
      </c>
      <c r="E80" s="25" t="s">
        <v>406</v>
      </c>
    </row>
    <row r="81" spans="1:5" x14ac:dyDescent="0.2">
      <c r="A81" s="21" t="s">
        <v>326</v>
      </c>
      <c r="B81" s="4" t="s">
        <v>109</v>
      </c>
      <c r="C81" s="4" t="s">
        <v>131</v>
      </c>
      <c r="D81" s="4" t="s">
        <v>132</v>
      </c>
      <c r="E81" s="25" t="s">
        <v>407</v>
      </c>
    </row>
    <row r="82" spans="1:5" x14ac:dyDescent="0.2">
      <c r="A82" s="21" t="s">
        <v>333</v>
      </c>
      <c r="B82" s="4" t="s">
        <v>109</v>
      </c>
      <c r="C82" s="4" t="s">
        <v>131</v>
      </c>
      <c r="D82" s="4" t="s">
        <v>408</v>
      </c>
      <c r="E82" s="25" t="s">
        <v>409</v>
      </c>
    </row>
    <row r="83" spans="1:5" x14ac:dyDescent="0.2">
      <c r="A83" s="21" t="s">
        <v>378</v>
      </c>
      <c r="B83" s="4" t="s">
        <v>109</v>
      </c>
      <c r="C83" s="4" t="s">
        <v>124</v>
      </c>
      <c r="D83" s="4" t="s">
        <v>410</v>
      </c>
      <c r="E83" s="25" t="s">
        <v>411</v>
      </c>
    </row>
    <row r="84" spans="1:5" x14ac:dyDescent="0.2">
      <c r="A84" s="21" t="s">
        <v>382</v>
      </c>
      <c r="B84" s="4" t="s">
        <v>109</v>
      </c>
      <c r="C84" s="4" t="s">
        <v>124</v>
      </c>
      <c r="D84" s="4" t="s">
        <v>412</v>
      </c>
      <c r="E84" s="25" t="s">
        <v>413</v>
      </c>
    </row>
    <row r="85" spans="1:5" x14ac:dyDescent="0.2">
      <c r="A85" s="21" t="s">
        <v>318</v>
      </c>
      <c r="B85" s="4" t="s">
        <v>109</v>
      </c>
      <c r="C85" s="4" t="s">
        <v>134</v>
      </c>
      <c r="D85" s="4" t="s">
        <v>414</v>
      </c>
      <c r="E85" s="25" t="s">
        <v>415</v>
      </c>
    </row>
    <row r="86" spans="1:5" x14ac:dyDescent="0.2">
      <c r="A86" s="21" t="s">
        <v>357</v>
      </c>
      <c r="B86" s="4" t="s">
        <v>109</v>
      </c>
      <c r="C86" s="4" t="s">
        <v>121</v>
      </c>
      <c r="D86" s="4" t="s">
        <v>416</v>
      </c>
      <c r="E86" s="25" t="s">
        <v>417</v>
      </c>
    </row>
    <row r="87" spans="1:5" x14ac:dyDescent="0.2">
      <c r="A87" s="21" t="s">
        <v>339</v>
      </c>
      <c r="B87" s="4" t="s">
        <v>109</v>
      </c>
      <c r="C87" s="4" t="s">
        <v>131</v>
      </c>
      <c r="D87" s="4" t="s">
        <v>418</v>
      </c>
      <c r="E87" s="25" t="s">
        <v>419</v>
      </c>
    </row>
    <row r="89" spans="1:5" ht="14.25" x14ac:dyDescent="0.2">
      <c r="A89" s="22"/>
      <c r="B89" s="23" t="s">
        <v>227</v>
      </c>
    </row>
    <row r="90" spans="1:5" ht="15" x14ac:dyDescent="0.2">
      <c r="A90" s="24" t="s">
        <v>110</v>
      </c>
      <c r="B90" s="24" t="s">
        <v>111</v>
      </c>
      <c r="C90" s="24" t="s">
        <v>112</v>
      </c>
      <c r="D90" s="24" t="s">
        <v>113</v>
      </c>
      <c r="E90" s="24" t="s">
        <v>114</v>
      </c>
    </row>
    <row r="91" spans="1:5" x14ac:dyDescent="0.2">
      <c r="A91" s="21" t="s">
        <v>352</v>
      </c>
      <c r="B91" s="4" t="s">
        <v>420</v>
      </c>
      <c r="C91" s="4" t="s">
        <v>131</v>
      </c>
      <c r="D91" s="4" t="s">
        <v>125</v>
      </c>
      <c r="E91" s="25" t="s">
        <v>421</v>
      </c>
    </row>
    <row r="92" spans="1:5" x14ac:dyDescent="0.2">
      <c r="A92" s="21" t="s">
        <v>382</v>
      </c>
      <c r="B92" s="4" t="s">
        <v>399</v>
      </c>
      <c r="C92" s="4" t="s">
        <v>124</v>
      </c>
      <c r="D92" s="4" t="s">
        <v>412</v>
      </c>
      <c r="E92" s="25" t="s">
        <v>422</v>
      </c>
    </row>
    <row r="93" spans="1:5" x14ac:dyDescent="0.2">
      <c r="A93" s="21" t="s">
        <v>333</v>
      </c>
      <c r="B93" s="4" t="s">
        <v>228</v>
      </c>
      <c r="C93" s="4" t="s">
        <v>131</v>
      </c>
      <c r="D93" s="4" t="s">
        <v>408</v>
      </c>
      <c r="E93" s="25" t="s">
        <v>423</v>
      </c>
    </row>
    <row r="94" spans="1:5" x14ac:dyDescent="0.2">
      <c r="A94" s="21" t="s">
        <v>362</v>
      </c>
      <c r="B94" s="4" t="s">
        <v>228</v>
      </c>
      <c r="C94" s="4" t="s">
        <v>121</v>
      </c>
      <c r="D94" s="4" t="s">
        <v>424</v>
      </c>
      <c r="E94" s="25" t="s">
        <v>425</v>
      </c>
    </row>
    <row r="95" spans="1:5" x14ac:dyDescent="0.2">
      <c r="A95" s="21" t="s">
        <v>347</v>
      </c>
      <c r="B95" s="4" t="s">
        <v>228</v>
      </c>
      <c r="C95" s="4" t="s">
        <v>131</v>
      </c>
      <c r="D95" s="4" t="s">
        <v>426</v>
      </c>
      <c r="E95" s="25" t="s">
        <v>427</v>
      </c>
    </row>
  </sheetData>
  <mergeCells count="23">
    <mergeCell ref="A42:T42"/>
    <mergeCell ref="A17:T17"/>
    <mergeCell ref="A21:T21"/>
    <mergeCell ref="A24:T24"/>
    <mergeCell ref="A27:T27"/>
    <mergeCell ref="A35:T35"/>
    <mergeCell ref="A39:T39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10:T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24.5703125" style="4" bestFit="1" customWidth="1"/>
    <col min="22" max="16384" width="9.140625" style="3"/>
  </cols>
  <sheetData>
    <row r="1" spans="1:21" s="2" customFormat="1" ht="29.1" customHeight="1" x14ac:dyDescent="0.2">
      <c r="A1" s="39" t="s">
        <v>1573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10</v>
      </c>
      <c r="H3" s="37"/>
      <c r="I3" s="37"/>
      <c r="J3" s="37"/>
      <c r="K3" s="37" t="s">
        <v>11</v>
      </c>
      <c r="L3" s="37"/>
      <c r="M3" s="37"/>
      <c r="N3" s="37"/>
      <c r="O3" s="37" t="s">
        <v>12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" x14ac:dyDescent="0.2">
      <c r="A5" s="36" t="s">
        <v>428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430</v>
      </c>
      <c r="B6" s="6" t="s">
        <v>431</v>
      </c>
      <c r="C6" s="6" t="s">
        <v>432</v>
      </c>
      <c r="D6" s="6" t="str">
        <f>"1,4510"</f>
        <v>1,4510</v>
      </c>
      <c r="E6" s="6" t="s">
        <v>35</v>
      </c>
      <c r="F6" s="6" t="s">
        <v>36</v>
      </c>
      <c r="G6" s="7" t="s">
        <v>274</v>
      </c>
      <c r="H6" s="7" t="s">
        <v>433</v>
      </c>
      <c r="I6" s="7" t="s">
        <v>434</v>
      </c>
      <c r="J6" s="8"/>
      <c r="K6" s="7" t="s">
        <v>435</v>
      </c>
      <c r="L6" s="7" t="s">
        <v>436</v>
      </c>
      <c r="M6" s="8" t="s">
        <v>294</v>
      </c>
      <c r="N6" s="8"/>
      <c r="O6" s="7" t="s">
        <v>297</v>
      </c>
      <c r="P6" s="7" t="s">
        <v>99</v>
      </c>
      <c r="Q6" s="8" t="s">
        <v>39</v>
      </c>
      <c r="R6" s="8"/>
      <c r="S6" s="6" t="str">
        <f>"207,5"</f>
        <v>207,5</v>
      </c>
      <c r="T6" s="7" t="str">
        <f>"301,0825"</f>
        <v>301,0825</v>
      </c>
      <c r="U6" s="6" t="s">
        <v>180</v>
      </c>
    </row>
    <row r="8" spans="1:21" ht="15" x14ac:dyDescent="0.2">
      <c r="A8" s="35" t="s">
        <v>437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 x14ac:dyDescent="0.2">
      <c r="A9" s="9" t="s">
        <v>439</v>
      </c>
      <c r="B9" s="9" t="s">
        <v>440</v>
      </c>
      <c r="C9" s="9" t="s">
        <v>441</v>
      </c>
      <c r="D9" s="9" t="str">
        <f>"1,3326"</f>
        <v>1,3326</v>
      </c>
      <c r="E9" s="9" t="s">
        <v>18</v>
      </c>
      <c r="F9" s="9" t="s">
        <v>63</v>
      </c>
      <c r="G9" s="10" t="s">
        <v>23</v>
      </c>
      <c r="H9" s="10" t="s">
        <v>297</v>
      </c>
      <c r="I9" s="11" t="s">
        <v>284</v>
      </c>
      <c r="J9" s="11"/>
      <c r="K9" s="10" t="s">
        <v>442</v>
      </c>
      <c r="L9" s="10" t="s">
        <v>295</v>
      </c>
      <c r="M9" s="10" t="s">
        <v>302</v>
      </c>
      <c r="N9" s="11"/>
      <c r="O9" s="10" t="s">
        <v>66</v>
      </c>
      <c r="P9" s="10" t="s">
        <v>303</v>
      </c>
      <c r="Q9" s="10" t="s">
        <v>100</v>
      </c>
      <c r="R9" s="11"/>
      <c r="S9" s="9" t="str">
        <f>"247,5"</f>
        <v>247,5</v>
      </c>
      <c r="T9" s="10" t="str">
        <f>"329,8185"</f>
        <v>329,8185</v>
      </c>
      <c r="U9" s="9" t="s">
        <v>332</v>
      </c>
    </row>
    <row r="10" spans="1:21" x14ac:dyDescent="0.2">
      <c r="A10" s="12" t="s">
        <v>444</v>
      </c>
      <c r="B10" s="12" t="s">
        <v>445</v>
      </c>
      <c r="C10" s="12" t="s">
        <v>446</v>
      </c>
      <c r="D10" s="12" t="str">
        <f>"1,3244"</f>
        <v>1,3244</v>
      </c>
      <c r="E10" s="12" t="s">
        <v>18</v>
      </c>
      <c r="F10" s="12" t="s">
        <v>447</v>
      </c>
      <c r="G10" s="17" t="s">
        <v>448</v>
      </c>
      <c r="H10" s="17" t="s">
        <v>294</v>
      </c>
      <c r="I10" s="17" t="s">
        <v>281</v>
      </c>
      <c r="J10" s="13"/>
      <c r="K10" s="17" t="s">
        <v>449</v>
      </c>
      <c r="L10" s="13" t="s">
        <v>436</v>
      </c>
      <c r="M10" s="13" t="s">
        <v>436</v>
      </c>
      <c r="N10" s="13"/>
      <c r="O10" s="17" t="s">
        <v>448</v>
      </c>
      <c r="P10" s="17" t="s">
        <v>296</v>
      </c>
      <c r="Q10" s="17" t="s">
        <v>283</v>
      </c>
      <c r="R10" s="13"/>
      <c r="S10" s="12" t="str">
        <f>"130,0"</f>
        <v>130,0</v>
      </c>
      <c r="T10" s="17" t="str">
        <f>"172,1720"</f>
        <v>172,1720</v>
      </c>
      <c r="U10" s="12" t="s">
        <v>450</v>
      </c>
    </row>
    <row r="12" spans="1:21" ht="15" x14ac:dyDescent="0.2">
      <c r="A12" s="35" t="s">
        <v>451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1" x14ac:dyDescent="0.2">
      <c r="A13" s="6" t="s">
        <v>453</v>
      </c>
      <c r="B13" s="6" t="s">
        <v>454</v>
      </c>
      <c r="C13" s="6" t="s">
        <v>455</v>
      </c>
      <c r="D13" s="6" t="str">
        <f>"1,2541"</f>
        <v>1,2541</v>
      </c>
      <c r="E13" s="6" t="s">
        <v>18</v>
      </c>
      <c r="F13" s="6" t="s">
        <v>36</v>
      </c>
      <c r="G13" s="7" t="s">
        <v>293</v>
      </c>
      <c r="H13" s="8" t="s">
        <v>24</v>
      </c>
      <c r="I13" s="7" t="s">
        <v>24</v>
      </c>
      <c r="J13" s="8"/>
      <c r="K13" s="7" t="s">
        <v>296</v>
      </c>
      <c r="L13" s="8" t="s">
        <v>281</v>
      </c>
      <c r="M13" s="7" t="s">
        <v>281</v>
      </c>
      <c r="N13" s="8"/>
      <c r="O13" s="7" t="s">
        <v>297</v>
      </c>
      <c r="P13" s="7" t="s">
        <v>100</v>
      </c>
      <c r="Q13" s="8" t="s">
        <v>41</v>
      </c>
      <c r="R13" s="8"/>
      <c r="S13" s="6" t="str">
        <f>"245,0"</f>
        <v>245,0</v>
      </c>
      <c r="T13" s="7" t="str">
        <f>"307,2545"</f>
        <v>307,2545</v>
      </c>
      <c r="U13" s="6" t="s">
        <v>456</v>
      </c>
    </row>
    <row r="15" spans="1:21" ht="15" x14ac:dyDescent="0.2">
      <c r="A15" s="35" t="s">
        <v>265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1" x14ac:dyDescent="0.2">
      <c r="A16" s="9" t="s">
        <v>458</v>
      </c>
      <c r="B16" s="9" t="s">
        <v>459</v>
      </c>
      <c r="C16" s="9" t="s">
        <v>460</v>
      </c>
      <c r="D16" s="9" t="str">
        <f>"1,1766"</f>
        <v>1,1766</v>
      </c>
      <c r="E16" s="9" t="s">
        <v>18</v>
      </c>
      <c r="F16" s="9" t="s">
        <v>36</v>
      </c>
      <c r="G16" s="10" t="s">
        <v>297</v>
      </c>
      <c r="H16" s="10" t="s">
        <v>284</v>
      </c>
      <c r="I16" s="10" t="s">
        <v>99</v>
      </c>
      <c r="J16" s="11"/>
      <c r="K16" s="10" t="s">
        <v>283</v>
      </c>
      <c r="L16" s="10" t="s">
        <v>273</v>
      </c>
      <c r="M16" s="11" t="s">
        <v>274</v>
      </c>
      <c r="N16" s="11"/>
      <c r="O16" s="10" t="s">
        <v>270</v>
      </c>
      <c r="P16" s="10" t="s">
        <v>461</v>
      </c>
      <c r="Q16" s="10" t="s">
        <v>166</v>
      </c>
      <c r="R16" s="11"/>
      <c r="S16" s="9" t="str">
        <f>"295,0"</f>
        <v>295,0</v>
      </c>
      <c r="T16" s="10" t="str">
        <f>"347,0970"</f>
        <v>347,0970</v>
      </c>
      <c r="U16" s="9" t="s">
        <v>462</v>
      </c>
    </row>
    <row r="17" spans="1:21" x14ac:dyDescent="0.2">
      <c r="A17" s="14" t="s">
        <v>464</v>
      </c>
      <c r="B17" s="14" t="s">
        <v>465</v>
      </c>
      <c r="C17" s="14" t="s">
        <v>466</v>
      </c>
      <c r="D17" s="14" t="str">
        <f>"1,1967"</f>
        <v>1,1967</v>
      </c>
      <c r="E17" s="14" t="s">
        <v>18</v>
      </c>
      <c r="F17" s="14" t="s">
        <v>467</v>
      </c>
      <c r="G17" s="15" t="s">
        <v>293</v>
      </c>
      <c r="H17" s="15" t="s">
        <v>24</v>
      </c>
      <c r="I17" s="16" t="s">
        <v>66</v>
      </c>
      <c r="J17" s="16"/>
      <c r="K17" s="15" t="s">
        <v>442</v>
      </c>
      <c r="L17" s="15" t="s">
        <v>294</v>
      </c>
      <c r="M17" s="15" t="s">
        <v>296</v>
      </c>
      <c r="N17" s="16"/>
      <c r="O17" s="15" t="s">
        <v>24</v>
      </c>
      <c r="P17" s="15" t="s">
        <v>66</v>
      </c>
      <c r="Q17" s="16" t="s">
        <v>468</v>
      </c>
      <c r="R17" s="16"/>
      <c r="S17" s="14" t="str">
        <f>"222,5"</f>
        <v>222,5</v>
      </c>
      <c r="T17" s="15" t="str">
        <f>"266,2657"</f>
        <v>266,2657</v>
      </c>
      <c r="U17" s="14" t="s">
        <v>469</v>
      </c>
    </row>
    <row r="18" spans="1:21" x14ac:dyDescent="0.2">
      <c r="A18" s="14" t="s">
        <v>471</v>
      </c>
      <c r="B18" s="14" t="s">
        <v>472</v>
      </c>
      <c r="C18" s="14" t="s">
        <v>473</v>
      </c>
      <c r="D18" s="14" t="str">
        <f>"1,1849"</f>
        <v>1,1849</v>
      </c>
      <c r="E18" s="14" t="s">
        <v>18</v>
      </c>
      <c r="F18" s="14" t="s">
        <v>280</v>
      </c>
      <c r="G18" s="15" t="s">
        <v>292</v>
      </c>
      <c r="H18" s="15" t="s">
        <v>474</v>
      </c>
      <c r="I18" s="16" t="s">
        <v>65</v>
      </c>
      <c r="J18" s="16"/>
      <c r="K18" s="15" t="s">
        <v>294</v>
      </c>
      <c r="L18" s="16" t="s">
        <v>296</v>
      </c>
      <c r="M18" s="16" t="s">
        <v>296</v>
      </c>
      <c r="N18" s="16"/>
      <c r="O18" s="16" t="s">
        <v>24</v>
      </c>
      <c r="P18" s="15" t="s">
        <v>24</v>
      </c>
      <c r="Q18" s="16" t="s">
        <v>297</v>
      </c>
      <c r="R18" s="16"/>
      <c r="S18" s="14" t="str">
        <f>"202,5"</f>
        <v>202,5</v>
      </c>
      <c r="T18" s="15" t="str">
        <f>"239,9423"</f>
        <v>239,9423</v>
      </c>
      <c r="U18" s="14" t="s">
        <v>144</v>
      </c>
    </row>
    <row r="19" spans="1:21" x14ac:dyDescent="0.2">
      <c r="A19" s="12" t="s">
        <v>458</v>
      </c>
      <c r="B19" s="12" t="s">
        <v>475</v>
      </c>
      <c r="C19" s="12" t="s">
        <v>460</v>
      </c>
      <c r="D19" s="12" t="str">
        <f>"1,1766"</f>
        <v>1,1766</v>
      </c>
      <c r="E19" s="12" t="s">
        <v>18</v>
      </c>
      <c r="F19" s="12" t="s">
        <v>36</v>
      </c>
      <c r="G19" s="17" t="s">
        <v>297</v>
      </c>
      <c r="H19" s="17" t="s">
        <v>284</v>
      </c>
      <c r="I19" s="17" t="s">
        <v>99</v>
      </c>
      <c r="J19" s="13"/>
      <c r="K19" s="17" t="s">
        <v>283</v>
      </c>
      <c r="L19" s="17" t="s">
        <v>273</v>
      </c>
      <c r="M19" s="13" t="s">
        <v>274</v>
      </c>
      <c r="N19" s="13"/>
      <c r="O19" s="17" t="s">
        <v>270</v>
      </c>
      <c r="P19" s="17" t="s">
        <v>461</v>
      </c>
      <c r="Q19" s="17" t="s">
        <v>166</v>
      </c>
      <c r="R19" s="13"/>
      <c r="S19" s="12" t="str">
        <f>"295,0"</f>
        <v>295,0</v>
      </c>
      <c r="T19" s="17" t="str">
        <f>"347,0970"</f>
        <v>347,0970</v>
      </c>
      <c r="U19" s="12" t="s">
        <v>462</v>
      </c>
    </row>
    <row r="21" spans="1:21" ht="15" x14ac:dyDescent="0.2">
      <c r="A21" s="35" t="s">
        <v>287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1" x14ac:dyDescent="0.2">
      <c r="A22" s="9" t="s">
        <v>477</v>
      </c>
      <c r="B22" s="9" t="s">
        <v>478</v>
      </c>
      <c r="C22" s="9" t="s">
        <v>479</v>
      </c>
      <c r="D22" s="9" t="str">
        <f>"1,1149"</f>
        <v>1,1149</v>
      </c>
      <c r="E22" s="9" t="s">
        <v>35</v>
      </c>
      <c r="F22" s="9" t="s">
        <v>480</v>
      </c>
      <c r="G22" s="10" t="s">
        <v>281</v>
      </c>
      <c r="H22" s="10" t="s">
        <v>273</v>
      </c>
      <c r="I22" s="11" t="s">
        <v>292</v>
      </c>
      <c r="J22" s="11"/>
      <c r="K22" s="10" t="s">
        <v>273</v>
      </c>
      <c r="L22" s="10" t="s">
        <v>433</v>
      </c>
      <c r="M22" s="11" t="s">
        <v>434</v>
      </c>
      <c r="N22" s="11"/>
      <c r="O22" s="10" t="s">
        <v>65</v>
      </c>
      <c r="P22" s="11" t="s">
        <v>297</v>
      </c>
      <c r="Q22" s="11" t="s">
        <v>297</v>
      </c>
      <c r="R22" s="11"/>
      <c r="S22" s="9" t="str">
        <f>"207,5"</f>
        <v>207,5</v>
      </c>
      <c r="T22" s="10" t="str">
        <f>"231,3417"</f>
        <v>231,3417</v>
      </c>
      <c r="U22" s="9" t="s">
        <v>144</v>
      </c>
    </row>
    <row r="23" spans="1:21" x14ac:dyDescent="0.2">
      <c r="A23" s="14" t="s">
        <v>482</v>
      </c>
      <c r="B23" s="14" t="s">
        <v>483</v>
      </c>
      <c r="C23" s="14" t="s">
        <v>479</v>
      </c>
      <c r="D23" s="14" t="str">
        <f>"1,1149"</f>
        <v>1,1149</v>
      </c>
      <c r="E23" s="14" t="s">
        <v>18</v>
      </c>
      <c r="F23" s="14" t="s">
        <v>36</v>
      </c>
      <c r="G23" s="15" t="s">
        <v>99</v>
      </c>
      <c r="H23" s="15" t="s">
        <v>100</v>
      </c>
      <c r="I23" s="16" t="s">
        <v>270</v>
      </c>
      <c r="J23" s="16"/>
      <c r="K23" s="15" t="s">
        <v>281</v>
      </c>
      <c r="L23" s="16" t="s">
        <v>273</v>
      </c>
      <c r="M23" s="15" t="s">
        <v>273</v>
      </c>
      <c r="N23" s="16"/>
      <c r="O23" s="15" t="s">
        <v>65</v>
      </c>
      <c r="P23" s="15" t="s">
        <v>41</v>
      </c>
      <c r="Q23" s="15" t="s">
        <v>270</v>
      </c>
      <c r="R23" s="16"/>
      <c r="S23" s="14" t="str">
        <f>"290,0"</f>
        <v>290,0</v>
      </c>
      <c r="T23" s="15" t="str">
        <f>"323,3210"</f>
        <v>323,3210</v>
      </c>
      <c r="U23" s="14" t="s">
        <v>484</v>
      </c>
    </row>
    <row r="24" spans="1:21" x14ac:dyDescent="0.2">
      <c r="A24" s="12" t="s">
        <v>486</v>
      </c>
      <c r="B24" s="12" t="s">
        <v>487</v>
      </c>
      <c r="C24" s="12" t="s">
        <v>488</v>
      </c>
      <c r="D24" s="12" t="str">
        <f>"1,1386"</f>
        <v>1,1386</v>
      </c>
      <c r="E24" s="12" t="s">
        <v>18</v>
      </c>
      <c r="F24" s="12" t="s">
        <v>36</v>
      </c>
      <c r="G24" s="17" t="s">
        <v>273</v>
      </c>
      <c r="H24" s="17" t="s">
        <v>292</v>
      </c>
      <c r="I24" s="17" t="s">
        <v>293</v>
      </c>
      <c r="J24" s="13"/>
      <c r="K24" s="17" t="s">
        <v>435</v>
      </c>
      <c r="L24" s="17" t="s">
        <v>442</v>
      </c>
      <c r="M24" s="13" t="s">
        <v>294</v>
      </c>
      <c r="N24" s="13"/>
      <c r="O24" s="17" t="s">
        <v>293</v>
      </c>
      <c r="P24" s="13" t="s">
        <v>25</v>
      </c>
      <c r="Q24" s="13" t="s">
        <v>25</v>
      </c>
      <c r="R24" s="13"/>
      <c r="S24" s="12" t="str">
        <f>"187,5"</f>
        <v>187,5</v>
      </c>
      <c r="T24" s="17" t="str">
        <f>"213,4875"</f>
        <v>213,4875</v>
      </c>
      <c r="U24" s="12" t="s">
        <v>489</v>
      </c>
    </row>
    <row r="26" spans="1:21" ht="15" x14ac:dyDescent="0.2">
      <c r="A26" s="35" t="s">
        <v>30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1" x14ac:dyDescent="0.2">
      <c r="A27" s="6" t="s">
        <v>491</v>
      </c>
      <c r="B27" s="6" t="s">
        <v>492</v>
      </c>
      <c r="C27" s="6" t="s">
        <v>493</v>
      </c>
      <c r="D27" s="6" t="str">
        <f>"0,9144"</f>
        <v>0,9144</v>
      </c>
      <c r="E27" s="6" t="s">
        <v>18</v>
      </c>
      <c r="F27" s="6" t="s">
        <v>494</v>
      </c>
      <c r="G27" s="8" t="s">
        <v>99</v>
      </c>
      <c r="H27" s="7" t="s">
        <v>99</v>
      </c>
      <c r="I27" s="7" t="s">
        <v>270</v>
      </c>
      <c r="J27" s="8"/>
      <c r="K27" s="7" t="s">
        <v>65</v>
      </c>
      <c r="L27" s="8" t="s">
        <v>24</v>
      </c>
      <c r="M27" s="8" t="s">
        <v>24</v>
      </c>
      <c r="N27" s="8"/>
      <c r="O27" s="7" t="s">
        <v>98</v>
      </c>
      <c r="P27" s="7" t="s">
        <v>22</v>
      </c>
      <c r="Q27" s="8" t="s">
        <v>67</v>
      </c>
      <c r="R27" s="8"/>
      <c r="S27" s="6" t="str">
        <f>"355,0"</f>
        <v>355,0</v>
      </c>
      <c r="T27" s="7" t="str">
        <f>"327,8581"</f>
        <v>327,8581</v>
      </c>
      <c r="U27" s="6" t="s">
        <v>144</v>
      </c>
    </row>
    <row r="29" spans="1:21" ht="15" x14ac:dyDescent="0.2">
      <c r="A29" s="35" t="s">
        <v>13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1" x14ac:dyDescent="0.2">
      <c r="A30" s="6" t="s">
        <v>496</v>
      </c>
      <c r="B30" s="6" t="s">
        <v>497</v>
      </c>
      <c r="C30" s="6" t="s">
        <v>498</v>
      </c>
      <c r="D30" s="6" t="str">
        <f>"0,7249"</f>
        <v>0,7249</v>
      </c>
      <c r="E30" s="6" t="s">
        <v>35</v>
      </c>
      <c r="F30" s="6" t="s">
        <v>36</v>
      </c>
      <c r="G30" s="7" t="s">
        <v>99</v>
      </c>
      <c r="H30" s="7" t="s">
        <v>100</v>
      </c>
      <c r="I30" s="7" t="s">
        <v>41</v>
      </c>
      <c r="J30" s="8"/>
      <c r="K30" s="7" t="s">
        <v>292</v>
      </c>
      <c r="L30" s="7" t="s">
        <v>65</v>
      </c>
      <c r="M30" s="8" t="s">
        <v>297</v>
      </c>
      <c r="N30" s="8"/>
      <c r="O30" s="7" t="s">
        <v>461</v>
      </c>
      <c r="P30" s="7" t="s">
        <v>98</v>
      </c>
      <c r="Q30" s="7" t="s">
        <v>21</v>
      </c>
      <c r="R30" s="8"/>
      <c r="S30" s="6" t="str">
        <f>"345,0"</f>
        <v>345,0</v>
      </c>
      <c r="T30" s="7" t="str">
        <f>"250,0905"</f>
        <v>250,0905</v>
      </c>
      <c r="U30" s="6" t="s">
        <v>499</v>
      </c>
    </row>
    <row r="32" spans="1:21" ht="15" x14ac:dyDescent="0.2">
      <c r="A32" s="35" t="s">
        <v>30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1" x14ac:dyDescent="0.2">
      <c r="A33" s="9" t="s">
        <v>501</v>
      </c>
      <c r="B33" s="9" t="s">
        <v>502</v>
      </c>
      <c r="C33" s="9" t="s">
        <v>503</v>
      </c>
      <c r="D33" s="9" t="str">
        <f>"0,6865"</f>
        <v>0,6865</v>
      </c>
      <c r="E33" s="9" t="s">
        <v>18</v>
      </c>
      <c r="F33" s="9" t="s">
        <v>504</v>
      </c>
      <c r="G33" s="10" t="s">
        <v>271</v>
      </c>
      <c r="H33" s="10" t="s">
        <v>166</v>
      </c>
      <c r="I33" s="10" t="s">
        <v>167</v>
      </c>
      <c r="J33" s="11"/>
      <c r="K33" s="10" t="s">
        <v>25</v>
      </c>
      <c r="L33" s="10" t="s">
        <v>66</v>
      </c>
      <c r="M33" s="11"/>
      <c r="N33" s="11"/>
      <c r="O33" s="10" t="s">
        <v>67</v>
      </c>
      <c r="P33" s="10" t="s">
        <v>27</v>
      </c>
      <c r="Q33" s="10" t="s">
        <v>322</v>
      </c>
      <c r="R33" s="11"/>
      <c r="S33" s="9" t="str">
        <f>"420,0"</f>
        <v>420,0</v>
      </c>
      <c r="T33" s="10" t="str">
        <f>"288,3300"</f>
        <v>288,3300</v>
      </c>
      <c r="U33" s="9" t="s">
        <v>144</v>
      </c>
    </row>
    <row r="34" spans="1:21" x14ac:dyDescent="0.2">
      <c r="A34" s="14" t="s">
        <v>506</v>
      </c>
      <c r="B34" s="14" t="s">
        <v>507</v>
      </c>
      <c r="C34" s="14" t="s">
        <v>508</v>
      </c>
      <c r="D34" s="14" t="str">
        <f>"0,6729"</f>
        <v>0,6729</v>
      </c>
      <c r="E34" s="14" t="s">
        <v>18</v>
      </c>
      <c r="F34" s="14" t="s">
        <v>36</v>
      </c>
      <c r="G34" s="15" t="s">
        <v>28</v>
      </c>
      <c r="H34" s="15" t="s">
        <v>42</v>
      </c>
      <c r="I34" s="16" t="s">
        <v>51</v>
      </c>
      <c r="J34" s="16"/>
      <c r="K34" s="15" t="s">
        <v>39</v>
      </c>
      <c r="L34" s="15" t="s">
        <v>100</v>
      </c>
      <c r="M34" s="15" t="s">
        <v>41</v>
      </c>
      <c r="N34" s="16"/>
      <c r="O34" s="15" t="s">
        <v>42</v>
      </c>
      <c r="P34" s="15" t="s">
        <v>249</v>
      </c>
      <c r="Q34" s="16" t="s">
        <v>193</v>
      </c>
      <c r="R34" s="16"/>
      <c r="S34" s="14" t="str">
        <f>"507,5"</f>
        <v>507,5</v>
      </c>
      <c r="T34" s="15" t="str">
        <f>"341,4968"</f>
        <v>341,4968</v>
      </c>
      <c r="U34" s="14" t="s">
        <v>80</v>
      </c>
    </row>
    <row r="35" spans="1:21" x14ac:dyDescent="0.2">
      <c r="A35" s="14" t="s">
        <v>510</v>
      </c>
      <c r="B35" s="14" t="s">
        <v>511</v>
      </c>
      <c r="C35" s="14" t="s">
        <v>512</v>
      </c>
      <c r="D35" s="14" t="str">
        <f>"0,6719"</f>
        <v>0,6719</v>
      </c>
      <c r="E35" s="14" t="s">
        <v>35</v>
      </c>
      <c r="F35" s="14" t="s">
        <v>513</v>
      </c>
      <c r="G35" s="15" t="s">
        <v>21</v>
      </c>
      <c r="H35" s="15" t="s">
        <v>37</v>
      </c>
      <c r="I35" s="15" t="s">
        <v>76</v>
      </c>
      <c r="J35" s="16"/>
      <c r="K35" s="15" t="s">
        <v>40</v>
      </c>
      <c r="L35" s="15" t="s">
        <v>514</v>
      </c>
      <c r="M35" s="16" t="s">
        <v>461</v>
      </c>
      <c r="N35" s="16"/>
      <c r="O35" s="15" t="s">
        <v>21</v>
      </c>
      <c r="P35" s="15" t="s">
        <v>76</v>
      </c>
      <c r="Q35" s="16" t="s">
        <v>88</v>
      </c>
      <c r="R35" s="16"/>
      <c r="S35" s="14" t="str">
        <f>"472,5"</f>
        <v>472,5</v>
      </c>
      <c r="T35" s="15" t="str">
        <f>"317,4727"</f>
        <v>317,4727</v>
      </c>
      <c r="U35" s="14" t="s">
        <v>338</v>
      </c>
    </row>
    <row r="36" spans="1:21" x14ac:dyDescent="0.2">
      <c r="A36" s="14" t="s">
        <v>516</v>
      </c>
      <c r="B36" s="14" t="s">
        <v>517</v>
      </c>
      <c r="C36" s="14" t="s">
        <v>518</v>
      </c>
      <c r="D36" s="14" t="str">
        <f>"0,6759"</f>
        <v>0,6759</v>
      </c>
      <c r="E36" s="14" t="s">
        <v>18</v>
      </c>
      <c r="F36" s="14" t="s">
        <v>519</v>
      </c>
      <c r="G36" s="16" t="s">
        <v>275</v>
      </c>
      <c r="H36" s="16" t="s">
        <v>275</v>
      </c>
      <c r="I36" s="15" t="s">
        <v>275</v>
      </c>
      <c r="J36" s="16"/>
      <c r="K36" s="15" t="s">
        <v>99</v>
      </c>
      <c r="L36" s="16" t="s">
        <v>520</v>
      </c>
      <c r="M36" s="16" t="s">
        <v>520</v>
      </c>
      <c r="N36" s="16"/>
      <c r="O36" s="15" t="s">
        <v>37</v>
      </c>
      <c r="P36" s="16" t="s">
        <v>27</v>
      </c>
      <c r="Q36" s="16" t="s">
        <v>77</v>
      </c>
      <c r="R36" s="16"/>
      <c r="S36" s="14" t="str">
        <f>"412,5"</f>
        <v>412,5</v>
      </c>
      <c r="T36" s="15" t="str">
        <f>"278,8087"</f>
        <v>278,8087</v>
      </c>
      <c r="U36" s="14" t="s">
        <v>521</v>
      </c>
    </row>
    <row r="37" spans="1:21" x14ac:dyDescent="0.2">
      <c r="A37" s="12" t="s">
        <v>523</v>
      </c>
      <c r="B37" s="12" t="s">
        <v>524</v>
      </c>
      <c r="C37" s="12" t="s">
        <v>525</v>
      </c>
      <c r="D37" s="12" t="str">
        <f>"0,6827"</f>
        <v>0,6827</v>
      </c>
      <c r="E37" s="12" t="s">
        <v>18</v>
      </c>
      <c r="F37" s="12" t="s">
        <v>526</v>
      </c>
      <c r="G37" s="17" t="s">
        <v>67</v>
      </c>
      <c r="H37" s="17" t="s">
        <v>37</v>
      </c>
      <c r="I37" s="17" t="s">
        <v>38</v>
      </c>
      <c r="J37" s="13"/>
      <c r="K37" s="17" t="s">
        <v>99</v>
      </c>
      <c r="L37" s="17" t="s">
        <v>39</v>
      </c>
      <c r="M37" s="13" t="s">
        <v>520</v>
      </c>
      <c r="N37" s="13"/>
      <c r="O37" s="17" t="s">
        <v>28</v>
      </c>
      <c r="P37" s="17" t="s">
        <v>322</v>
      </c>
      <c r="Q37" s="17" t="s">
        <v>42</v>
      </c>
      <c r="R37" s="13"/>
      <c r="S37" s="12" t="str">
        <f>"467,5"</f>
        <v>467,5</v>
      </c>
      <c r="T37" s="17" t="str">
        <f>"427,6774"</f>
        <v>427,6774</v>
      </c>
      <c r="U37" s="12" t="s">
        <v>527</v>
      </c>
    </row>
    <row r="39" spans="1:21" ht="15" x14ac:dyDescent="0.2">
      <c r="A39" s="35" t="s">
        <v>46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1" x14ac:dyDescent="0.2">
      <c r="A40" s="9" t="s">
        <v>529</v>
      </c>
      <c r="B40" s="9" t="s">
        <v>530</v>
      </c>
      <c r="C40" s="9" t="s">
        <v>238</v>
      </c>
      <c r="D40" s="9" t="str">
        <f>"0,6432"</f>
        <v>0,6432</v>
      </c>
      <c r="E40" s="9" t="s">
        <v>18</v>
      </c>
      <c r="F40" s="9" t="s">
        <v>63</v>
      </c>
      <c r="G40" s="10" t="s">
        <v>98</v>
      </c>
      <c r="H40" s="10" t="s">
        <v>323</v>
      </c>
      <c r="I40" s="10" t="s">
        <v>37</v>
      </c>
      <c r="J40" s="11"/>
      <c r="K40" s="10" t="s">
        <v>65</v>
      </c>
      <c r="L40" s="10" t="s">
        <v>297</v>
      </c>
      <c r="M40" s="10" t="s">
        <v>284</v>
      </c>
      <c r="N40" s="11"/>
      <c r="O40" s="10" t="s">
        <v>67</v>
      </c>
      <c r="P40" s="11" t="s">
        <v>76</v>
      </c>
      <c r="Q40" s="10" t="s">
        <v>322</v>
      </c>
      <c r="R40" s="11" t="s">
        <v>249</v>
      </c>
      <c r="S40" s="9" t="str">
        <f>"445,0"</f>
        <v>445,0</v>
      </c>
      <c r="T40" s="10" t="str">
        <f>"286,2240"</f>
        <v>286,2240</v>
      </c>
      <c r="U40" s="9" t="s">
        <v>531</v>
      </c>
    </row>
    <row r="41" spans="1:21" x14ac:dyDescent="0.2">
      <c r="A41" s="12" t="s">
        <v>533</v>
      </c>
      <c r="B41" s="12" t="s">
        <v>534</v>
      </c>
      <c r="C41" s="12" t="s">
        <v>336</v>
      </c>
      <c r="D41" s="12" t="str">
        <f>"0,6479"</f>
        <v>0,6479</v>
      </c>
      <c r="E41" s="12" t="s">
        <v>18</v>
      </c>
      <c r="F41" s="12" t="s">
        <v>36</v>
      </c>
      <c r="G41" s="17" t="s">
        <v>53</v>
      </c>
      <c r="H41" s="17" t="s">
        <v>43</v>
      </c>
      <c r="I41" s="17" t="s">
        <v>44</v>
      </c>
      <c r="J41" s="13"/>
      <c r="K41" s="17" t="s">
        <v>166</v>
      </c>
      <c r="L41" s="17" t="s">
        <v>20</v>
      </c>
      <c r="M41" s="17" t="s">
        <v>21</v>
      </c>
      <c r="N41" s="13"/>
      <c r="O41" s="17" t="s">
        <v>43</v>
      </c>
      <c r="P41" s="17" t="s">
        <v>52</v>
      </c>
      <c r="Q41" s="13" t="s">
        <v>142</v>
      </c>
      <c r="R41" s="13"/>
      <c r="S41" s="12" t="str">
        <f>"605,0"</f>
        <v>605,0</v>
      </c>
      <c r="T41" s="17" t="str">
        <f>"391,9795"</f>
        <v>391,9795</v>
      </c>
      <c r="U41" s="12" t="s">
        <v>144</v>
      </c>
    </row>
    <row r="43" spans="1:21" ht="15" x14ac:dyDescent="0.2">
      <c r="A43" s="35" t="s">
        <v>58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1" x14ac:dyDescent="0.2">
      <c r="A44" s="9" t="s">
        <v>536</v>
      </c>
      <c r="B44" s="9" t="s">
        <v>537</v>
      </c>
      <c r="C44" s="9" t="s">
        <v>538</v>
      </c>
      <c r="D44" s="9" t="str">
        <f>"0,6194"</f>
        <v>0,6194</v>
      </c>
      <c r="E44" s="9" t="s">
        <v>18</v>
      </c>
      <c r="F44" s="9" t="s">
        <v>36</v>
      </c>
      <c r="G44" s="10" t="s">
        <v>53</v>
      </c>
      <c r="H44" s="10" t="s">
        <v>43</v>
      </c>
      <c r="I44" s="11" t="s">
        <v>52</v>
      </c>
      <c r="J44" s="11"/>
      <c r="K44" s="10" t="s">
        <v>67</v>
      </c>
      <c r="L44" s="11" t="s">
        <v>26</v>
      </c>
      <c r="M44" s="11" t="s">
        <v>26</v>
      </c>
      <c r="N44" s="11"/>
      <c r="O44" s="10" t="s">
        <v>43</v>
      </c>
      <c r="P44" s="10" t="s">
        <v>52</v>
      </c>
      <c r="Q44" s="10" t="s">
        <v>142</v>
      </c>
      <c r="R44" s="11"/>
      <c r="S44" s="9" t="str">
        <f>"620,0"</f>
        <v>620,0</v>
      </c>
      <c r="T44" s="10" t="str">
        <f>"384,0280"</f>
        <v>384,0280</v>
      </c>
      <c r="U44" s="9" t="s">
        <v>313</v>
      </c>
    </row>
    <row r="45" spans="1:21" x14ac:dyDescent="0.2">
      <c r="A45" s="14" t="s">
        <v>540</v>
      </c>
      <c r="B45" s="14" t="s">
        <v>541</v>
      </c>
      <c r="C45" s="14" t="s">
        <v>177</v>
      </c>
      <c r="D45" s="14" t="str">
        <f>"0,6086"</f>
        <v>0,6086</v>
      </c>
      <c r="E45" s="14" t="s">
        <v>18</v>
      </c>
      <c r="F45" s="14" t="s">
        <v>36</v>
      </c>
      <c r="G45" s="15" t="s">
        <v>22</v>
      </c>
      <c r="H45" s="15" t="s">
        <v>26</v>
      </c>
      <c r="I45" s="15" t="s">
        <v>77</v>
      </c>
      <c r="J45" s="16"/>
      <c r="K45" s="15" t="s">
        <v>22</v>
      </c>
      <c r="L45" s="15" t="s">
        <v>26</v>
      </c>
      <c r="M45" s="16" t="s">
        <v>28</v>
      </c>
      <c r="N45" s="16"/>
      <c r="O45" s="15" t="s">
        <v>542</v>
      </c>
      <c r="P45" s="15" t="s">
        <v>42</v>
      </c>
      <c r="Q45" s="16" t="s">
        <v>156</v>
      </c>
      <c r="R45" s="16"/>
      <c r="S45" s="14" t="str">
        <f>"542,5"</f>
        <v>542,5</v>
      </c>
      <c r="T45" s="15" t="str">
        <f>"330,1655"</f>
        <v>330,1655</v>
      </c>
      <c r="U45" s="14" t="s">
        <v>543</v>
      </c>
    </row>
    <row r="46" spans="1:21" x14ac:dyDescent="0.2">
      <c r="A46" s="14" t="s">
        <v>545</v>
      </c>
      <c r="B46" s="14" t="s">
        <v>546</v>
      </c>
      <c r="C46" s="14" t="s">
        <v>360</v>
      </c>
      <c r="D46" s="14" t="str">
        <f>"0,6139"</f>
        <v>0,6139</v>
      </c>
      <c r="E46" s="14" t="s">
        <v>18</v>
      </c>
      <c r="F46" s="14" t="s">
        <v>547</v>
      </c>
      <c r="G46" s="15" t="s">
        <v>98</v>
      </c>
      <c r="H46" s="15" t="s">
        <v>21</v>
      </c>
      <c r="I46" s="15" t="s">
        <v>37</v>
      </c>
      <c r="J46" s="16"/>
      <c r="K46" s="15" t="s">
        <v>100</v>
      </c>
      <c r="L46" s="15" t="s">
        <v>548</v>
      </c>
      <c r="M46" s="15" t="s">
        <v>514</v>
      </c>
      <c r="N46" s="16"/>
      <c r="O46" s="15" t="s">
        <v>42</v>
      </c>
      <c r="P46" s="15" t="s">
        <v>149</v>
      </c>
      <c r="Q46" s="16" t="s">
        <v>193</v>
      </c>
      <c r="R46" s="16"/>
      <c r="S46" s="14" t="str">
        <f>"492,5"</f>
        <v>492,5</v>
      </c>
      <c r="T46" s="15" t="str">
        <f>"302,3458"</f>
        <v>302,3458</v>
      </c>
      <c r="U46" s="14" t="s">
        <v>549</v>
      </c>
    </row>
    <row r="47" spans="1:21" x14ac:dyDescent="0.2">
      <c r="A47" s="12" t="s">
        <v>551</v>
      </c>
      <c r="B47" s="12" t="s">
        <v>552</v>
      </c>
      <c r="C47" s="12" t="s">
        <v>553</v>
      </c>
      <c r="D47" s="12" t="str">
        <f>"0,6241"</f>
        <v>0,6241</v>
      </c>
      <c r="E47" s="12" t="s">
        <v>18</v>
      </c>
      <c r="F47" s="12" t="s">
        <v>547</v>
      </c>
      <c r="G47" s="13" t="s">
        <v>98</v>
      </c>
      <c r="H47" s="17" t="s">
        <v>98</v>
      </c>
      <c r="I47" s="17" t="s">
        <v>22</v>
      </c>
      <c r="J47" s="13"/>
      <c r="K47" s="17" t="s">
        <v>554</v>
      </c>
      <c r="L47" s="17" t="s">
        <v>555</v>
      </c>
      <c r="M47" s="17" t="s">
        <v>556</v>
      </c>
      <c r="N47" s="13"/>
      <c r="O47" s="17" t="s">
        <v>28</v>
      </c>
      <c r="P47" s="17" t="s">
        <v>42</v>
      </c>
      <c r="Q47" s="13" t="s">
        <v>64</v>
      </c>
      <c r="R47" s="13"/>
      <c r="S47" s="12" t="str">
        <f>"482,5"</f>
        <v>482,5</v>
      </c>
      <c r="T47" s="17" t="str">
        <f>"304,1395"</f>
        <v>304,1395</v>
      </c>
      <c r="U47" s="12" t="s">
        <v>549</v>
      </c>
    </row>
    <row r="49" spans="1:21" ht="15" x14ac:dyDescent="0.2">
      <c r="A49" s="35" t="s">
        <v>557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1" x14ac:dyDescent="0.2">
      <c r="A50" s="6" t="s">
        <v>559</v>
      </c>
      <c r="B50" s="6" t="s">
        <v>560</v>
      </c>
      <c r="C50" s="6" t="s">
        <v>561</v>
      </c>
      <c r="D50" s="6" t="str">
        <f>"0,5688"</f>
        <v>0,5688</v>
      </c>
      <c r="E50" s="6" t="s">
        <v>35</v>
      </c>
      <c r="F50" s="6" t="s">
        <v>36</v>
      </c>
      <c r="G50" s="7" t="s">
        <v>98</v>
      </c>
      <c r="H50" s="7" t="s">
        <v>21</v>
      </c>
      <c r="I50" s="8" t="s">
        <v>67</v>
      </c>
      <c r="J50" s="8"/>
      <c r="K50" s="7" t="s">
        <v>20</v>
      </c>
      <c r="L50" s="7" t="s">
        <v>22</v>
      </c>
      <c r="M50" s="7" t="s">
        <v>37</v>
      </c>
      <c r="N50" s="8"/>
      <c r="O50" s="7" t="s">
        <v>98</v>
      </c>
      <c r="P50" s="7" t="s">
        <v>22</v>
      </c>
      <c r="Q50" s="7" t="s">
        <v>26</v>
      </c>
      <c r="R50" s="8"/>
      <c r="S50" s="6" t="str">
        <f>"485,0"</f>
        <v>485,0</v>
      </c>
      <c r="T50" s="7" t="str">
        <f>"275,8680"</f>
        <v>275,8680</v>
      </c>
      <c r="U50" s="6" t="s">
        <v>80</v>
      </c>
    </row>
    <row r="52" spans="1:21" ht="15" x14ac:dyDescent="0.2">
      <c r="E52" s="18" t="s">
        <v>102</v>
      </c>
    </row>
    <row r="53" spans="1:21" ht="15" x14ac:dyDescent="0.2">
      <c r="E53" s="18" t="s">
        <v>103</v>
      </c>
    </row>
    <row r="54" spans="1:21" ht="15" x14ac:dyDescent="0.2">
      <c r="E54" s="18" t="s">
        <v>104</v>
      </c>
    </row>
    <row r="55" spans="1:21" ht="15" x14ac:dyDescent="0.2">
      <c r="E55" s="18" t="s">
        <v>105</v>
      </c>
    </row>
    <row r="56" spans="1:21" ht="15" x14ac:dyDescent="0.2">
      <c r="E56" s="18" t="s">
        <v>105</v>
      </c>
    </row>
    <row r="57" spans="1:21" ht="15" x14ac:dyDescent="0.2">
      <c r="E57" s="18" t="s">
        <v>106</v>
      </c>
    </row>
    <row r="58" spans="1:21" ht="15" x14ac:dyDescent="0.2">
      <c r="E58" s="18"/>
    </row>
    <row r="60" spans="1:21" ht="18" x14ac:dyDescent="0.25">
      <c r="A60" s="19" t="s">
        <v>107</v>
      </c>
      <c r="B60" s="19"/>
    </row>
    <row r="61" spans="1:21" ht="15" x14ac:dyDescent="0.2">
      <c r="A61" s="20" t="s">
        <v>108</v>
      </c>
      <c r="B61" s="20"/>
    </row>
    <row r="62" spans="1:21" ht="14.25" x14ac:dyDescent="0.2">
      <c r="A62" s="22"/>
      <c r="B62" s="23" t="s">
        <v>562</v>
      </c>
    </row>
    <row r="63" spans="1:21" ht="15" x14ac:dyDescent="0.2">
      <c r="A63" s="24" t="s">
        <v>110</v>
      </c>
      <c r="B63" s="24" t="s">
        <v>111</v>
      </c>
      <c r="C63" s="24" t="s">
        <v>112</v>
      </c>
      <c r="D63" s="24" t="s">
        <v>113</v>
      </c>
      <c r="E63" s="24" t="s">
        <v>114</v>
      </c>
    </row>
    <row r="64" spans="1:21" x14ac:dyDescent="0.2">
      <c r="A64" s="21" t="s">
        <v>476</v>
      </c>
      <c r="B64" s="4" t="s">
        <v>120</v>
      </c>
      <c r="C64" s="4" t="s">
        <v>396</v>
      </c>
      <c r="D64" s="4" t="s">
        <v>397</v>
      </c>
      <c r="E64" s="25" t="s">
        <v>563</v>
      </c>
    </row>
    <row r="66" spans="1:5" ht="14.25" x14ac:dyDescent="0.2">
      <c r="A66" s="22"/>
      <c r="B66" s="23" t="s">
        <v>389</v>
      </c>
    </row>
    <row r="67" spans="1:5" ht="15" x14ac:dyDescent="0.2">
      <c r="A67" s="24" t="s">
        <v>110</v>
      </c>
      <c r="B67" s="24" t="s">
        <v>111</v>
      </c>
      <c r="C67" s="24" t="s">
        <v>112</v>
      </c>
      <c r="D67" s="24" t="s">
        <v>113</v>
      </c>
      <c r="E67" s="24" t="s">
        <v>114</v>
      </c>
    </row>
    <row r="68" spans="1:5" x14ac:dyDescent="0.2">
      <c r="A68" s="21" t="s">
        <v>429</v>
      </c>
      <c r="B68" s="4" t="s">
        <v>209</v>
      </c>
      <c r="C68" s="4" t="s">
        <v>564</v>
      </c>
      <c r="D68" s="4" t="s">
        <v>397</v>
      </c>
      <c r="E68" s="25" t="s">
        <v>565</v>
      </c>
    </row>
    <row r="70" spans="1:5" ht="14.25" x14ac:dyDescent="0.2">
      <c r="A70" s="22"/>
      <c r="B70" s="23" t="s">
        <v>109</v>
      </c>
    </row>
    <row r="71" spans="1:5" ht="15" x14ac:dyDescent="0.2">
      <c r="A71" s="24" t="s">
        <v>110</v>
      </c>
      <c r="B71" s="24" t="s">
        <v>111</v>
      </c>
      <c r="C71" s="24" t="s">
        <v>112</v>
      </c>
      <c r="D71" s="24" t="s">
        <v>113</v>
      </c>
      <c r="E71" s="24" t="s">
        <v>114</v>
      </c>
    </row>
    <row r="72" spans="1:5" x14ac:dyDescent="0.2">
      <c r="A72" s="21" t="s">
        <v>457</v>
      </c>
      <c r="B72" s="4" t="s">
        <v>109</v>
      </c>
      <c r="C72" s="4" t="s">
        <v>391</v>
      </c>
      <c r="D72" s="4" t="s">
        <v>78</v>
      </c>
      <c r="E72" s="25" t="s">
        <v>566</v>
      </c>
    </row>
    <row r="73" spans="1:5" x14ac:dyDescent="0.2">
      <c r="A73" s="21" t="s">
        <v>438</v>
      </c>
      <c r="B73" s="4" t="s">
        <v>109</v>
      </c>
      <c r="C73" s="4" t="s">
        <v>567</v>
      </c>
      <c r="D73" s="4" t="s">
        <v>568</v>
      </c>
      <c r="E73" s="25" t="s">
        <v>569</v>
      </c>
    </row>
    <row r="74" spans="1:5" x14ac:dyDescent="0.2">
      <c r="A74" s="21" t="s">
        <v>481</v>
      </c>
      <c r="B74" s="4" t="s">
        <v>109</v>
      </c>
      <c r="C74" s="4" t="s">
        <v>396</v>
      </c>
      <c r="D74" s="4" t="s">
        <v>74</v>
      </c>
      <c r="E74" s="25" t="s">
        <v>570</v>
      </c>
    </row>
    <row r="75" spans="1:5" x14ac:dyDescent="0.2">
      <c r="A75" s="21" t="s">
        <v>452</v>
      </c>
      <c r="B75" s="4" t="s">
        <v>109</v>
      </c>
      <c r="C75" s="4" t="s">
        <v>571</v>
      </c>
      <c r="D75" s="4" t="s">
        <v>178</v>
      </c>
      <c r="E75" s="25" t="s">
        <v>572</v>
      </c>
    </row>
    <row r="76" spans="1:5" x14ac:dyDescent="0.2">
      <c r="A76" s="21" t="s">
        <v>463</v>
      </c>
      <c r="B76" s="4" t="s">
        <v>109</v>
      </c>
      <c r="C76" s="4" t="s">
        <v>391</v>
      </c>
      <c r="D76" s="4" t="s">
        <v>331</v>
      </c>
      <c r="E76" s="25" t="s">
        <v>573</v>
      </c>
    </row>
    <row r="77" spans="1:5" x14ac:dyDescent="0.2">
      <c r="A77" s="21" t="s">
        <v>470</v>
      </c>
      <c r="B77" s="4" t="s">
        <v>109</v>
      </c>
      <c r="C77" s="4" t="s">
        <v>391</v>
      </c>
      <c r="D77" s="4" t="s">
        <v>249</v>
      </c>
      <c r="E77" s="25" t="s">
        <v>574</v>
      </c>
    </row>
    <row r="78" spans="1:5" x14ac:dyDescent="0.2">
      <c r="A78" s="21" t="s">
        <v>485</v>
      </c>
      <c r="B78" s="4" t="s">
        <v>109</v>
      </c>
      <c r="C78" s="4" t="s">
        <v>396</v>
      </c>
      <c r="D78" s="4" t="s">
        <v>88</v>
      </c>
      <c r="E78" s="25" t="s">
        <v>575</v>
      </c>
    </row>
    <row r="79" spans="1:5" x14ac:dyDescent="0.2">
      <c r="A79" s="21" t="s">
        <v>443</v>
      </c>
      <c r="B79" s="4" t="s">
        <v>109</v>
      </c>
      <c r="C79" s="4" t="s">
        <v>567</v>
      </c>
      <c r="D79" s="4" t="s">
        <v>461</v>
      </c>
      <c r="E79" s="25" t="s">
        <v>576</v>
      </c>
    </row>
    <row r="81" spans="1:5" ht="14.25" x14ac:dyDescent="0.2">
      <c r="A81" s="22"/>
      <c r="B81" s="23" t="s">
        <v>227</v>
      </c>
    </row>
    <row r="82" spans="1:5" ht="15" x14ac:dyDescent="0.2">
      <c r="A82" s="24" t="s">
        <v>110</v>
      </c>
      <c r="B82" s="24" t="s">
        <v>111</v>
      </c>
      <c r="C82" s="24" t="s">
        <v>112</v>
      </c>
      <c r="D82" s="24" t="s">
        <v>113</v>
      </c>
      <c r="E82" s="24" t="s">
        <v>114</v>
      </c>
    </row>
    <row r="83" spans="1:5" x14ac:dyDescent="0.2">
      <c r="A83" s="21" t="s">
        <v>457</v>
      </c>
      <c r="B83" s="4" t="s">
        <v>228</v>
      </c>
      <c r="C83" s="4" t="s">
        <v>391</v>
      </c>
      <c r="D83" s="4" t="s">
        <v>78</v>
      </c>
      <c r="E83" s="25" t="s">
        <v>566</v>
      </c>
    </row>
    <row r="84" spans="1:5" x14ac:dyDescent="0.2">
      <c r="A84" s="21" t="s">
        <v>490</v>
      </c>
      <c r="B84" s="4" t="s">
        <v>228</v>
      </c>
      <c r="C84" s="4" t="s">
        <v>134</v>
      </c>
      <c r="D84" s="4" t="s">
        <v>577</v>
      </c>
      <c r="E84" s="25" t="s">
        <v>578</v>
      </c>
    </row>
    <row r="87" spans="1:5" ht="15" x14ac:dyDescent="0.2">
      <c r="A87" s="20" t="s">
        <v>118</v>
      </c>
      <c r="B87" s="20"/>
    </row>
    <row r="88" spans="1:5" ht="14.25" x14ac:dyDescent="0.2">
      <c r="A88" s="22"/>
      <c r="B88" s="23" t="s">
        <v>119</v>
      </c>
    </row>
    <row r="89" spans="1:5" ht="15" x14ac:dyDescent="0.2">
      <c r="A89" s="24" t="s">
        <v>110</v>
      </c>
      <c r="B89" s="24" t="s">
        <v>111</v>
      </c>
      <c r="C89" s="24" t="s">
        <v>112</v>
      </c>
      <c r="D89" s="24" t="s">
        <v>113</v>
      </c>
      <c r="E89" s="24" t="s">
        <v>114</v>
      </c>
    </row>
    <row r="90" spans="1:5" x14ac:dyDescent="0.2">
      <c r="A90" s="21" t="s">
        <v>500</v>
      </c>
      <c r="B90" s="4" t="s">
        <v>120</v>
      </c>
      <c r="C90" s="4" t="s">
        <v>134</v>
      </c>
      <c r="D90" s="4" t="s">
        <v>579</v>
      </c>
      <c r="E90" s="25" t="s">
        <v>580</v>
      </c>
    </row>
    <row r="91" spans="1:5" x14ac:dyDescent="0.2">
      <c r="A91" s="21" t="s">
        <v>528</v>
      </c>
      <c r="B91" s="4" t="s">
        <v>120</v>
      </c>
      <c r="C91" s="4" t="s">
        <v>131</v>
      </c>
      <c r="D91" s="4" t="s">
        <v>581</v>
      </c>
      <c r="E91" s="25" t="s">
        <v>582</v>
      </c>
    </row>
    <row r="92" spans="1:5" x14ac:dyDescent="0.2">
      <c r="A92" s="21" t="s">
        <v>495</v>
      </c>
      <c r="B92" s="4" t="s">
        <v>120</v>
      </c>
      <c r="C92" s="4" t="s">
        <v>115</v>
      </c>
      <c r="D92" s="4" t="s">
        <v>583</v>
      </c>
      <c r="E92" s="25" t="s">
        <v>584</v>
      </c>
    </row>
    <row r="94" spans="1:5" ht="14.25" x14ac:dyDescent="0.2">
      <c r="A94" s="22"/>
      <c r="B94" s="23" t="s">
        <v>109</v>
      </c>
    </row>
    <row r="95" spans="1:5" ht="15" x14ac:dyDescent="0.2">
      <c r="A95" s="24" t="s">
        <v>110</v>
      </c>
      <c r="B95" s="24" t="s">
        <v>111</v>
      </c>
      <c r="C95" s="24" t="s">
        <v>112</v>
      </c>
      <c r="D95" s="24" t="s">
        <v>113</v>
      </c>
      <c r="E95" s="24" t="s">
        <v>114</v>
      </c>
    </row>
    <row r="96" spans="1:5" x14ac:dyDescent="0.2">
      <c r="A96" s="21" t="s">
        <v>532</v>
      </c>
      <c r="B96" s="4" t="s">
        <v>109</v>
      </c>
      <c r="C96" s="4" t="s">
        <v>131</v>
      </c>
      <c r="D96" s="4" t="s">
        <v>585</v>
      </c>
      <c r="E96" s="25" t="s">
        <v>586</v>
      </c>
    </row>
    <row r="97" spans="1:5" x14ac:dyDescent="0.2">
      <c r="A97" s="21" t="s">
        <v>535</v>
      </c>
      <c r="B97" s="4" t="s">
        <v>109</v>
      </c>
      <c r="C97" s="4" t="s">
        <v>121</v>
      </c>
      <c r="D97" s="4" t="s">
        <v>132</v>
      </c>
      <c r="E97" s="25" t="s">
        <v>587</v>
      </c>
    </row>
    <row r="98" spans="1:5" x14ac:dyDescent="0.2">
      <c r="A98" s="21" t="s">
        <v>505</v>
      </c>
      <c r="B98" s="4" t="s">
        <v>109</v>
      </c>
      <c r="C98" s="4" t="s">
        <v>134</v>
      </c>
      <c r="D98" s="4" t="s">
        <v>588</v>
      </c>
      <c r="E98" s="25" t="s">
        <v>589</v>
      </c>
    </row>
    <row r="99" spans="1:5" x14ac:dyDescent="0.2">
      <c r="A99" s="21" t="s">
        <v>539</v>
      </c>
      <c r="B99" s="4" t="s">
        <v>109</v>
      </c>
      <c r="C99" s="4" t="s">
        <v>121</v>
      </c>
      <c r="D99" s="4" t="s">
        <v>590</v>
      </c>
      <c r="E99" s="25" t="s">
        <v>591</v>
      </c>
    </row>
    <row r="100" spans="1:5" x14ac:dyDescent="0.2">
      <c r="A100" s="21" t="s">
        <v>509</v>
      </c>
      <c r="B100" s="4" t="s">
        <v>109</v>
      </c>
      <c r="C100" s="4" t="s">
        <v>134</v>
      </c>
      <c r="D100" s="4" t="s">
        <v>592</v>
      </c>
      <c r="E100" s="25" t="s">
        <v>593</v>
      </c>
    </row>
    <row r="101" spans="1:5" x14ac:dyDescent="0.2">
      <c r="A101" s="21" t="s">
        <v>544</v>
      </c>
      <c r="B101" s="4" t="s">
        <v>109</v>
      </c>
      <c r="C101" s="4" t="s">
        <v>121</v>
      </c>
      <c r="D101" s="4" t="s">
        <v>594</v>
      </c>
      <c r="E101" s="25" t="s">
        <v>595</v>
      </c>
    </row>
    <row r="102" spans="1:5" x14ac:dyDescent="0.2">
      <c r="A102" s="21" t="s">
        <v>515</v>
      </c>
      <c r="B102" s="4" t="s">
        <v>109</v>
      </c>
      <c r="C102" s="4" t="s">
        <v>134</v>
      </c>
      <c r="D102" s="4" t="s">
        <v>596</v>
      </c>
      <c r="E102" s="25" t="s">
        <v>597</v>
      </c>
    </row>
    <row r="103" spans="1:5" x14ac:dyDescent="0.2">
      <c r="A103" s="21" t="s">
        <v>558</v>
      </c>
      <c r="B103" s="4" t="s">
        <v>109</v>
      </c>
      <c r="C103" s="4" t="s">
        <v>598</v>
      </c>
      <c r="D103" s="4" t="s">
        <v>418</v>
      </c>
      <c r="E103" s="25" t="s">
        <v>599</v>
      </c>
    </row>
    <row r="105" spans="1:5" ht="14.25" x14ac:dyDescent="0.2">
      <c r="A105" s="22"/>
      <c r="B105" s="23" t="s">
        <v>227</v>
      </c>
    </row>
    <row r="106" spans="1:5" ht="15" x14ac:dyDescent="0.2">
      <c r="A106" s="24" t="s">
        <v>110</v>
      </c>
      <c r="B106" s="24" t="s">
        <v>111</v>
      </c>
      <c r="C106" s="24" t="s">
        <v>112</v>
      </c>
      <c r="D106" s="24" t="s">
        <v>113</v>
      </c>
      <c r="E106" s="24" t="s">
        <v>114</v>
      </c>
    </row>
    <row r="107" spans="1:5" x14ac:dyDescent="0.2">
      <c r="A107" s="21" t="s">
        <v>522</v>
      </c>
      <c r="B107" s="4" t="s">
        <v>420</v>
      </c>
      <c r="C107" s="4" t="s">
        <v>134</v>
      </c>
      <c r="D107" s="4" t="s">
        <v>600</v>
      </c>
      <c r="E107" s="25" t="s">
        <v>601</v>
      </c>
    </row>
    <row r="108" spans="1:5" x14ac:dyDescent="0.2">
      <c r="A108" s="21" t="s">
        <v>550</v>
      </c>
      <c r="B108" s="4" t="s">
        <v>228</v>
      </c>
      <c r="C108" s="4" t="s">
        <v>121</v>
      </c>
      <c r="D108" s="4" t="s">
        <v>602</v>
      </c>
      <c r="E108" s="25" t="s">
        <v>603</v>
      </c>
    </row>
  </sheetData>
  <mergeCells count="24">
    <mergeCell ref="A43:T43"/>
    <mergeCell ref="A49:T49"/>
    <mergeCell ref="A15:T15"/>
    <mergeCell ref="A21:T21"/>
    <mergeCell ref="A26:T26"/>
    <mergeCell ref="A29:T29"/>
    <mergeCell ref="A32:T32"/>
    <mergeCell ref="A39:T39"/>
    <mergeCell ref="A12:T1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39" t="s">
        <v>1569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11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793</v>
      </c>
      <c r="B6" s="6" t="s">
        <v>794</v>
      </c>
      <c r="C6" s="6" t="s">
        <v>795</v>
      </c>
      <c r="D6" s="6" t="str">
        <f>"0,7126"</f>
        <v>0,7126</v>
      </c>
      <c r="E6" s="6" t="s">
        <v>18</v>
      </c>
      <c r="F6" s="6" t="s">
        <v>36</v>
      </c>
      <c r="G6" s="7" t="s">
        <v>98</v>
      </c>
      <c r="H6" s="7" t="s">
        <v>323</v>
      </c>
      <c r="I6" s="8" t="s">
        <v>37</v>
      </c>
      <c r="J6" s="8"/>
      <c r="K6" s="6" t="str">
        <f>"152,5"</f>
        <v>152,5</v>
      </c>
      <c r="L6" s="7" t="str">
        <f>"108,6715"</f>
        <v>108,6715</v>
      </c>
      <c r="M6" s="6" t="s">
        <v>144</v>
      </c>
    </row>
    <row r="8" spans="1:13" ht="15" x14ac:dyDescent="0.2">
      <c r="E8" s="18" t="s">
        <v>102</v>
      </c>
    </row>
    <row r="9" spans="1:13" ht="15" x14ac:dyDescent="0.2">
      <c r="E9" s="18" t="s">
        <v>103</v>
      </c>
    </row>
    <row r="10" spans="1:13" ht="15" x14ac:dyDescent="0.2">
      <c r="E10" s="18" t="s">
        <v>104</v>
      </c>
    </row>
    <row r="11" spans="1:13" ht="15" x14ac:dyDescent="0.2">
      <c r="E11" s="18" t="s">
        <v>105</v>
      </c>
    </row>
    <row r="12" spans="1:13" ht="15" x14ac:dyDescent="0.2">
      <c r="E12" s="18" t="s">
        <v>105</v>
      </c>
    </row>
    <row r="13" spans="1:13" ht="15" x14ac:dyDescent="0.2">
      <c r="E13" s="18" t="s">
        <v>106</v>
      </c>
    </row>
    <row r="14" spans="1:13" ht="15" x14ac:dyDescent="0.2">
      <c r="E14" s="18"/>
    </row>
    <row r="16" spans="1:13" ht="18" x14ac:dyDescent="0.25">
      <c r="A16" s="19" t="s">
        <v>107</v>
      </c>
      <c r="B16" s="19"/>
    </row>
    <row r="17" spans="1:5" ht="15" x14ac:dyDescent="0.2">
      <c r="A17" s="20" t="s">
        <v>118</v>
      </c>
      <c r="B17" s="20"/>
    </row>
    <row r="18" spans="1:5" ht="14.25" x14ac:dyDescent="0.2">
      <c r="A18" s="22"/>
      <c r="B18" s="23" t="s">
        <v>109</v>
      </c>
    </row>
    <row r="19" spans="1:5" ht="15" x14ac:dyDescent="0.2">
      <c r="A19" s="24" t="s">
        <v>110</v>
      </c>
      <c r="B19" s="24" t="s">
        <v>111</v>
      </c>
      <c r="C19" s="24" t="s">
        <v>112</v>
      </c>
      <c r="D19" s="24" t="s">
        <v>113</v>
      </c>
      <c r="E19" s="24" t="s">
        <v>114</v>
      </c>
    </row>
    <row r="20" spans="1:5" x14ac:dyDescent="0.2">
      <c r="A20" s="21" t="s">
        <v>792</v>
      </c>
      <c r="B20" s="4" t="s">
        <v>109</v>
      </c>
      <c r="C20" s="4" t="s">
        <v>115</v>
      </c>
      <c r="D20" s="4" t="s">
        <v>323</v>
      </c>
      <c r="E20" s="25" t="s">
        <v>796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7.85546875" style="4" customWidth="1"/>
    <col min="3" max="3" width="17.140625" style="4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12" style="4" bestFit="1" customWidth="1"/>
    <col min="14" max="16384" width="9.140625" style="3"/>
  </cols>
  <sheetData>
    <row r="1" spans="1:13" s="2" customFormat="1" ht="29.1" customHeight="1" x14ac:dyDescent="0.2">
      <c r="A1" s="39" t="s">
        <v>1567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11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137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1071</v>
      </c>
      <c r="B6" s="6" t="s">
        <v>1072</v>
      </c>
      <c r="C6" s="6" t="s">
        <v>1073</v>
      </c>
      <c r="D6" s="6" t="str">
        <f>"1,0884"</f>
        <v>1,0884</v>
      </c>
      <c r="E6" s="6" t="s">
        <v>18</v>
      </c>
      <c r="F6" s="6" t="s">
        <v>330</v>
      </c>
      <c r="G6" s="7" t="s">
        <v>824</v>
      </c>
      <c r="H6" s="7" t="s">
        <v>292</v>
      </c>
      <c r="I6" s="7" t="s">
        <v>474</v>
      </c>
      <c r="J6" s="8"/>
      <c r="K6" s="6" t="str">
        <f>"77,5"</f>
        <v>77,5</v>
      </c>
      <c r="L6" s="7" t="str">
        <f>"84,3510"</f>
        <v>84,3510</v>
      </c>
      <c r="M6" s="6" t="s">
        <v>608</v>
      </c>
    </row>
    <row r="8" spans="1:13" ht="15" x14ac:dyDescent="0.2">
      <c r="A8" s="35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2">
      <c r="A9" s="6" t="s">
        <v>1075</v>
      </c>
      <c r="B9" s="6" t="s">
        <v>1076</v>
      </c>
      <c r="C9" s="6" t="s">
        <v>849</v>
      </c>
      <c r="D9" s="6" t="str">
        <f>"0,7152"</f>
        <v>0,7152</v>
      </c>
      <c r="E9" s="6" t="s">
        <v>18</v>
      </c>
      <c r="F9" s="6" t="s">
        <v>36</v>
      </c>
      <c r="G9" s="7" t="s">
        <v>149</v>
      </c>
      <c r="H9" s="8" t="s">
        <v>53</v>
      </c>
      <c r="I9" s="8" t="s">
        <v>53</v>
      </c>
      <c r="J9" s="8"/>
      <c r="K9" s="6" t="str">
        <f>"205,0"</f>
        <v>205,0</v>
      </c>
      <c r="L9" s="7" t="str">
        <f>"146,6160"</f>
        <v>146,6160</v>
      </c>
      <c r="M9" s="6" t="s">
        <v>1077</v>
      </c>
    </row>
    <row r="11" spans="1:13" ht="15" x14ac:dyDescent="0.2">
      <c r="A11" s="35" t="s">
        <v>58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3" x14ac:dyDescent="0.2">
      <c r="A12" s="6" t="s">
        <v>1079</v>
      </c>
      <c r="B12" s="6" t="s">
        <v>1080</v>
      </c>
      <c r="C12" s="6" t="s">
        <v>360</v>
      </c>
      <c r="D12" s="6" t="str">
        <f>"0,6139"</f>
        <v>0,6139</v>
      </c>
      <c r="E12" s="6" t="s">
        <v>18</v>
      </c>
      <c r="F12" s="6" t="s">
        <v>1081</v>
      </c>
      <c r="G12" s="7" t="s">
        <v>142</v>
      </c>
      <c r="H12" s="8" t="s">
        <v>143</v>
      </c>
      <c r="I12" s="8" t="s">
        <v>143</v>
      </c>
      <c r="J12" s="8"/>
      <c r="K12" s="6" t="str">
        <f>"240,0"</f>
        <v>240,0</v>
      </c>
      <c r="L12" s="7" t="str">
        <f>"147,3360"</f>
        <v>147,3360</v>
      </c>
      <c r="M12" s="6" t="s">
        <v>608</v>
      </c>
    </row>
    <row r="14" spans="1:13" ht="15" x14ac:dyDescent="0.2">
      <c r="A14" s="35" t="s">
        <v>253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3" x14ac:dyDescent="0.2">
      <c r="A15" s="9" t="s">
        <v>1083</v>
      </c>
      <c r="B15" s="9" t="s">
        <v>1084</v>
      </c>
      <c r="C15" s="9" t="s">
        <v>1085</v>
      </c>
      <c r="D15" s="9" t="str">
        <f>"0,6009"</f>
        <v>0,6009</v>
      </c>
      <c r="E15" s="9" t="s">
        <v>18</v>
      </c>
      <c r="F15" s="9" t="s">
        <v>63</v>
      </c>
      <c r="G15" s="10" t="s">
        <v>26</v>
      </c>
      <c r="H15" s="10" t="s">
        <v>28</v>
      </c>
      <c r="I15" s="11" t="s">
        <v>89</v>
      </c>
      <c r="J15" s="11"/>
      <c r="K15" s="9" t="str">
        <f>"180,0"</f>
        <v>180,0</v>
      </c>
      <c r="L15" s="10" t="str">
        <f>"108,1620"</f>
        <v>108,1620</v>
      </c>
      <c r="M15" s="9" t="s">
        <v>1086</v>
      </c>
    </row>
    <row r="16" spans="1:13" x14ac:dyDescent="0.2">
      <c r="A16" s="12" t="s">
        <v>1088</v>
      </c>
      <c r="B16" s="12" t="s">
        <v>1089</v>
      </c>
      <c r="C16" s="12" t="s">
        <v>1090</v>
      </c>
      <c r="D16" s="12" t="str">
        <f>"0,5921"</f>
        <v>0,5921</v>
      </c>
      <c r="E16" s="12" t="s">
        <v>18</v>
      </c>
      <c r="F16" s="12" t="s">
        <v>36</v>
      </c>
      <c r="G16" s="17" t="s">
        <v>26</v>
      </c>
      <c r="H16" s="17" t="s">
        <v>28</v>
      </c>
      <c r="I16" s="13" t="s">
        <v>89</v>
      </c>
      <c r="J16" s="13"/>
      <c r="K16" s="12" t="str">
        <f>"180,0"</f>
        <v>180,0</v>
      </c>
      <c r="L16" s="17" t="str">
        <f>"106,5780"</f>
        <v>106,5780</v>
      </c>
      <c r="M16" s="12" t="s">
        <v>1086</v>
      </c>
    </row>
    <row r="18" spans="1:5" ht="15" x14ac:dyDescent="0.2">
      <c r="E18" s="18" t="s">
        <v>102</v>
      </c>
    </row>
    <row r="19" spans="1:5" ht="15" x14ac:dyDescent="0.2">
      <c r="E19" s="18" t="s">
        <v>103</v>
      </c>
    </row>
    <row r="20" spans="1:5" ht="15" x14ac:dyDescent="0.2">
      <c r="E20" s="18" t="s">
        <v>104</v>
      </c>
    </row>
    <row r="21" spans="1:5" ht="15" x14ac:dyDescent="0.2">
      <c r="E21" s="18" t="s">
        <v>105</v>
      </c>
    </row>
    <row r="22" spans="1:5" ht="15" x14ac:dyDescent="0.2">
      <c r="E22" s="18" t="s">
        <v>105</v>
      </c>
    </row>
    <row r="23" spans="1:5" ht="15" x14ac:dyDescent="0.2">
      <c r="E23" s="18" t="s">
        <v>106</v>
      </c>
    </row>
    <row r="24" spans="1:5" ht="15" x14ac:dyDescent="0.2">
      <c r="E24" s="18"/>
    </row>
    <row r="26" spans="1:5" ht="18" x14ac:dyDescent="0.25">
      <c r="A26" s="19" t="s">
        <v>107</v>
      </c>
      <c r="B26" s="19"/>
    </row>
    <row r="27" spans="1:5" ht="15" x14ac:dyDescent="0.2">
      <c r="A27" s="20" t="s">
        <v>108</v>
      </c>
      <c r="B27" s="20"/>
    </row>
    <row r="28" spans="1:5" ht="14.25" x14ac:dyDescent="0.2">
      <c r="A28" s="22"/>
      <c r="B28" s="23" t="s">
        <v>562</v>
      </c>
    </row>
    <row r="29" spans="1:5" ht="15" x14ac:dyDescent="0.2">
      <c r="A29" s="24" t="s">
        <v>110</v>
      </c>
      <c r="B29" s="24" t="s">
        <v>111</v>
      </c>
      <c r="C29" s="24" t="s">
        <v>112</v>
      </c>
      <c r="D29" s="24" t="s">
        <v>113</v>
      </c>
      <c r="E29" s="24" t="s">
        <v>114</v>
      </c>
    </row>
    <row r="30" spans="1:5" x14ac:dyDescent="0.2">
      <c r="A30" s="21" t="s">
        <v>1070</v>
      </c>
      <c r="B30" s="4" t="s">
        <v>120</v>
      </c>
      <c r="C30" s="4" t="s">
        <v>212</v>
      </c>
      <c r="D30" s="4" t="s">
        <v>474</v>
      </c>
      <c r="E30" s="25" t="s">
        <v>1091</v>
      </c>
    </row>
    <row r="33" spans="1:5" ht="15" x14ac:dyDescent="0.2">
      <c r="A33" s="20" t="s">
        <v>118</v>
      </c>
      <c r="B33" s="20"/>
    </row>
    <row r="34" spans="1:5" ht="14.25" x14ac:dyDescent="0.2">
      <c r="A34" s="22"/>
      <c r="B34" s="23" t="s">
        <v>109</v>
      </c>
    </row>
    <row r="35" spans="1:5" ht="15" x14ac:dyDescent="0.2">
      <c r="A35" s="24" t="s">
        <v>110</v>
      </c>
      <c r="B35" s="24" t="s">
        <v>111</v>
      </c>
      <c r="C35" s="24" t="s">
        <v>112</v>
      </c>
      <c r="D35" s="24" t="s">
        <v>113</v>
      </c>
      <c r="E35" s="24" t="s">
        <v>114</v>
      </c>
    </row>
    <row r="36" spans="1:5" x14ac:dyDescent="0.2">
      <c r="A36" s="21" t="s">
        <v>1078</v>
      </c>
      <c r="B36" s="4" t="s">
        <v>109</v>
      </c>
      <c r="C36" s="4" t="s">
        <v>121</v>
      </c>
      <c r="D36" s="4" t="s">
        <v>142</v>
      </c>
      <c r="E36" s="25" t="s">
        <v>1092</v>
      </c>
    </row>
    <row r="37" spans="1:5" x14ac:dyDescent="0.2">
      <c r="A37" s="21" t="s">
        <v>1074</v>
      </c>
      <c r="B37" s="4" t="s">
        <v>109</v>
      </c>
      <c r="C37" s="4" t="s">
        <v>115</v>
      </c>
      <c r="D37" s="4" t="s">
        <v>149</v>
      </c>
      <c r="E37" s="25" t="s">
        <v>1093</v>
      </c>
    </row>
    <row r="38" spans="1:5" x14ac:dyDescent="0.2">
      <c r="A38" s="21" t="s">
        <v>1082</v>
      </c>
      <c r="B38" s="4" t="s">
        <v>109</v>
      </c>
      <c r="C38" s="4" t="s">
        <v>262</v>
      </c>
      <c r="D38" s="4" t="s">
        <v>28</v>
      </c>
      <c r="E38" s="25" t="s">
        <v>1094</v>
      </c>
    </row>
    <row r="39" spans="1:5" x14ac:dyDescent="0.2">
      <c r="A39" s="21" t="s">
        <v>1087</v>
      </c>
      <c r="B39" s="4" t="s">
        <v>109</v>
      </c>
      <c r="C39" s="4" t="s">
        <v>262</v>
      </c>
      <c r="D39" s="4" t="s">
        <v>28</v>
      </c>
      <c r="E39" s="25" t="s">
        <v>1095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workbookViewId="0">
      <selection activeCell="M98" sqref="M98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6.5703125" style="4" customWidth="1"/>
    <col min="4" max="4" width="8.42578125" style="4" bestFit="1" customWidth="1"/>
    <col min="5" max="5" width="22.7109375" style="4" bestFit="1" customWidth="1"/>
    <col min="6" max="6" width="37.28515625" style="4" bestFit="1" customWidth="1"/>
    <col min="7" max="10" width="5.5703125" style="3" bestFit="1" customWidth="1"/>
    <col min="11" max="11" width="11.28515625" style="4" bestFit="1" customWidth="1"/>
    <col min="12" max="12" width="8.5703125" style="3" bestFit="1" customWidth="1"/>
    <col min="13" max="13" width="31" style="4" bestFit="1" customWidth="1"/>
    <col min="14" max="16384" width="9.140625" style="3"/>
  </cols>
  <sheetData>
    <row r="1" spans="1:13" s="2" customFormat="1" ht="29.1" customHeight="1" x14ac:dyDescent="0.2">
      <c r="A1" s="39" t="s">
        <v>1568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11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437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9" t="s">
        <v>798</v>
      </c>
      <c r="B6" s="9" t="s">
        <v>799</v>
      </c>
      <c r="C6" s="9" t="s">
        <v>800</v>
      </c>
      <c r="D6" s="9" t="str">
        <f>"1,3428"</f>
        <v>1,3428</v>
      </c>
      <c r="E6" s="9" t="s">
        <v>18</v>
      </c>
      <c r="F6" s="9" t="s">
        <v>480</v>
      </c>
      <c r="G6" s="10" t="s">
        <v>302</v>
      </c>
      <c r="H6" s="10" t="s">
        <v>281</v>
      </c>
      <c r="I6" s="10" t="s">
        <v>282</v>
      </c>
      <c r="J6" s="11"/>
      <c r="K6" s="9" t="str">
        <f>"52,5"</f>
        <v>52,5</v>
      </c>
      <c r="L6" s="10" t="str">
        <f>"70,4970"</f>
        <v>70,4970</v>
      </c>
      <c r="M6" s="9" t="s">
        <v>801</v>
      </c>
    </row>
    <row r="7" spans="1:13" x14ac:dyDescent="0.2">
      <c r="A7" s="14" t="s">
        <v>803</v>
      </c>
      <c r="B7" s="14" t="s">
        <v>804</v>
      </c>
      <c r="C7" s="14" t="s">
        <v>446</v>
      </c>
      <c r="D7" s="14" t="str">
        <f>"1,3244"</f>
        <v>1,3244</v>
      </c>
      <c r="E7" s="14" t="s">
        <v>18</v>
      </c>
      <c r="F7" s="14" t="s">
        <v>36</v>
      </c>
      <c r="G7" s="15" t="s">
        <v>281</v>
      </c>
      <c r="H7" s="15" t="s">
        <v>282</v>
      </c>
      <c r="I7" s="16" t="s">
        <v>283</v>
      </c>
      <c r="J7" s="16"/>
      <c r="K7" s="14" t="str">
        <f>"52,5"</f>
        <v>52,5</v>
      </c>
      <c r="L7" s="15" t="str">
        <f>"69,5310"</f>
        <v>69,5310</v>
      </c>
      <c r="M7" s="14" t="s">
        <v>805</v>
      </c>
    </row>
    <row r="8" spans="1:13" x14ac:dyDescent="0.2">
      <c r="A8" s="12" t="s">
        <v>806</v>
      </c>
      <c r="B8" s="12" t="s">
        <v>445</v>
      </c>
      <c r="C8" s="12" t="s">
        <v>446</v>
      </c>
      <c r="D8" s="12" t="str">
        <f>"1,3244"</f>
        <v>1,3244</v>
      </c>
      <c r="E8" s="12" t="s">
        <v>18</v>
      </c>
      <c r="F8" s="12" t="s">
        <v>447</v>
      </c>
      <c r="G8" s="17" t="s">
        <v>449</v>
      </c>
      <c r="H8" s="13" t="s">
        <v>436</v>
      </c>
      <c r="I8" s="13" t="s">
        <v>436</v>
      </c>
      <c r="J8" s="13"/>
      <c r="K8" s="12" t="str">
        <f>"25,0"</f>
        <v>25,0</v>
      </c>
      <c r="L8" s="17" t="str">
        <f>"33,1100"</f>
        <v>33,1100</v>
      </c>
      <c r="M8" s="12" t="s">
        <v>450</v>
      </c>
    </row>
    <row r="10" spans="1:13" ht="15" x14ac:dyDescent="0.2">
      <c r="A10" s="35" t="s">
        <v>265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3" x14ac:dyDescent="0.2">
      <c r="A11" s="9" t="s">
        <v>267</v>
      </c>
      <c r="B11" s="9" t="s">
        <v>268</v>
      </c>
      <c r="C11" s="9" t="s">
        <v>269</v>
      </c>
      <c r="D11" s="9" t="str">
        <f>"1,1985"</f>
        <v>1,1985</v>
      </c>
      <c r="E11" s="9" t="s">
        <v>18</v>
      </c>
      <c r="F11" s="9" t="s">
        <v>36</v>
      </c>
      <c r="G11" s="10" t="s">
        <v>272</v>
      </c>
      <c r="H11" s="10" t="s">
        <v>273</v>
      </c>
      <c r="I11" s="10" t="s">
        <v>274</v>
      </c>
      <c r="J11" s="11"/>
      <c r="K11" s="9" t="str">
        <f>"62,5"</f>
        <v>62,5</v>
      </c>
      <c r="L11" s="10" t="str">
        <f>"74,9063"</f>
        <v>74,9063</v>
      </c>
      <c r="M11" s="27" t="s">
        <v>1429</v>
      </c>
    </row>
    <row r="12" spans="1:13" x14ac:dyDescent="0.2">
      <c r="A12" s="14" t="s">
        <v>808</v>
      </c>
      <c r="B12" s="14" t="s">
        <v>809</v>
      </c>
      <c r="C12" s="14" t="s">
        <v>810</v>
      </c>
      <c r="D12" s="14" t="str">
        <f>"1,1916"</f>
        <v>1,1916</v>
      </c>
      <c r="E12" s="14" t="s">
        <v>35</v>
      </c>
      <c r="F12" s="14" t="s">
        <v>36</v>
      </c>
      <c r="G12" s="15" t="s">
        <v>448</v>
      </c>
      <c r="H12" s="15" t="s">
        <v>435</v>
      </c>
      <c r="I12" s="16" t="s">
        <v>436</v>
      </c>
      <c r="J12" s="16"/>
      <c r="K12" s="14" t="str">
        <f>"32,5"</f>
        <v>32,5</v>
      </c>
      <c r="L12" s="15" t="str">
        <f>"38,7270"</f>
        <v>38,7270</v>
      </c>
      <c r="M12" s="14" t="s">
        <v>169</v>
      </c>
    </row>
    <row r="13" spans="1:13" x14ac:dyDescent="0.2">
      <c r="A13" s="12" t="s">
        <v>458</v>
      </c>
      <c r="B13" s="12" t="s">
        <v>475</v>
      </c>
      <c r="C13" s="12" t="s">
        <v>460</v>
      </c>
      <c r="D13" s="12" t="str">
        <f>"1,1766"</f>
        <v>1,1766</v>
      </c>
      <c r="E13" s="12" t="s">
        <v>18</v>
      </c>
      <c r="F13" s="12" t="s">
        <v>36</v>
      </c>
      <c r="G13" s="17" t="s">
        <v>283</v>
      </c>
      <c r="H13" s="17" t="s">
        <v>273</v>
      </c>
      <c r="I13" s="13" t="s">
        <v>274</v>
      </c>
      <c r="J13" s="13"/>
      <c r="K13" s="12" t="str">
        <f>"60,0"</f>
        <v>60,0</v>
      </c>
      <c r="L13" s="17" t="str">
        <f>"70,5960"</f>
        <v>70,5960</v>
      </c>
      <c r="M13" s="12" t="s">
        <v>462</v>
      </c>
    </row>
    <row r="15" spans="1:13" ht="15" x14ac:dyDescent="0.2">
      <c r="A15" s="35" t="s">
        <v>287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3" x14ac:dyDescent="0.2">
      <c r="A16" s="9" t="s">
        <v>812</v>
      </c>
      <c r="B16" s="9" t="s">
        <v>813</v>
      </c>
      <c r="C16" s="9" t="s">
        <v>814</v>
      </c>
      <c r="D16" s="9" t="str">
        <f>"1,1401"</f>
        <v>1,1401</v>
      </c>
      <c r="E16" s="9" t="s">
        <v>18</v>
      </c>
      <c r="F16" s="9" t="s">
        <v>36</v>
      </c>
      <c r="G16" s="10" t="s">
        <v>274</v>
      </c>
      <c r="H16" s="11" t="s">
        <v>433</v>
      </c>
      <c r="I16" s="11" t="s">
        <v>433</v>
      </c>
      <c r="J16" s="11"/>
      <c r="K16" s="9" t="str">
        <f>"62,5"</f>
        <v>62,5</v>
      </c>
      <c r="L16" s="10" t="str">
        <f>"71,2563"</f>
        <v>71,2563</v>
      </c>
      <c r="M16" s="9" t="s">
        <v>92</v>
      </c>
    </row>
    <row r="17" spans="1:13" x14ac:dyDescent="0.2">
      <c r="A17" s="12" t="s">
        <v>816</v>
      </c>
      <c r="B17" s="12" t="s">
        <v>817</v>
      </c>
      <c r="C17" s="12" t="s">
        <v>818</v>
      </c>
      <c r="D17" s="12" t="str">
        <f>"1,1295"</f>
        <v>1,1295</v>
      </c>
      <c r="E17" s="12" t="s">
        <v>18</v>
      </c>
      <c r="F17" s="12" t="s">
        <v>819</v>
      </c>
      <c r="G17" s="17" t="s">
        <v>282</v>
      </c>
      <c r="H17" s="13" t="s">
        <v>283</v>
      </c>
      <c r="I17" s="13" t="s">
        <v>283</v>
      </c>
      <c r="J17" s="13"/>
      <c r="K17" s="12" t="str">
        <f>"52,5"</f>
        <v>52,5</v>
      </c>
      <c r="L17" s="17" t="str">
        <f>"75,1908"</f>
        <v>75,1908</v>
      </c>
      <c r="M17" s="12" t="s">
        <v>80</v>
      </c>
    </row>
    <row r="19" spans="1:13" ht="15" x14ac:dyDescent="0.2">
      <c r="A19" s="35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3" x14ac:dyDescent="0.2">
      <c r="A20" s="6" t="s">
        <v>821</v>
      </c>
      <c r="B20" s="6" t="s">
        <v>822</v>
      </c>
      <c r="C20" s="6" t="s">
        <v>823</v>
      </c>
      <c r="D20" s="6" t="str">
        <f>"0,9998"</f>
        <v>0,9998</v>
      </c>
      <c r="E20" s="6" t="s">
        <v>35</v>
      </c>
      <c r="F20" s="6" t="s">
        <v>819</v>
      </c>
      <c r="G20" s="7" t="s">
        <v>273</v>
      </c>
      <c r="H20" s="7" t="s">
        <v>274</v>
      </c>
      <c r="I20" s="7" t="s">
        <v>824</v>
      </c>
      <c r="J20" s="8"/>
      <c r="K20" s="6" t="str">
        <f>"65,0"</f>
        <v>65,0</v>
      </c>
      <c r="L20" s="7" t="str">
        <f>"67,0016"</f>
        <v>67,0016</v>
      </c>
      <c r="M20" s="6" t="s">
        <v>80</v>
      </c>
    </row>
    <row r="22" spans="1:13" ht="15" x14ac:dyDescent="0.2">
      <c r="A22" s="35" t="s">
        <v>30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3" x14ac:dyDescent="0.2">
      <c r="A23" s="6" t="s">
        <v>491</v>
      </c>
      <c r="B23" s="6" t="s">
        <v>492</v>
      </c>
      <c r="C23" s="6" t="s">
        <v>493</v>
      </c>
      <c r="D23" s="6" t="str">
        <f>"0,9144"</f>
        <v>0,9144</v>
      </c>
      <c r="E23" s="6" t="s">
        <v>18</v>
      </c>
      <c r="F23" s="6" t="s">
        <v>494</v>
      </c>
      <c r="G23" s="7" t="s">
        <v>65</v>
      </c>
      <c r="H23" s="8" t="s">
        <v>24</v>
      </c>
      <c r="I23" s="8" t="s">
        <v>24</v>
      </c>
      <c r="J23" s="8"/>
      <c r="K23" s="6" t="str">
        <f>"80,0"</f>
        <v>80,0</v>
      </c>
      <c r="L23" s="7" t="str">
        <f>"73,8835"</f>
        <v>73,8835</v>
      </c>
      <c r="M23" s="6" t="s">
        <v>144</v>
      </c>
    </row>
    <row r="25" spans="1:13" ht="15" x14ac:dyDescent="0.2">
      <c r="A25" s="35" t="s">
        <v>265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3" x14ac:dyDescent="0.2">
      <c r="A26" s="9" t="s">
        <v>826</v>
      </c>
      <c r="B26" s="9" t="s">
        <v>827</v>
      </c>
      <c r="C26" s="9" t="s">
        <v>460</v>
      </c>
      <c r="D26" s="9" t="str">
        <f>"0,9103"</f>
        <v>0,9103</v>
      </c>
      <c r="E26" s="9" t="s">
        <v>18</v>
      </c>
      <c r="F26" s="9" t="s">
        <v>36</v>
      </c>
      <c r="G26" s="10" t="s">
        <v>65</v>
      </c>
      <c r="H26" s="11" t="s">
        <v>24</v>
      </c>
      <c r="I26" s="10" t="s">
        <v>24</v>
      </c>
      <c r="J26" s="11"/>
      <c r="K26" s="9" t="str">
        <f>"85,0"</f>
        <v>85,0</v>
      </c>
      <c r="L26" s="10" t="str">
        <f>"77,3755"</f>
        <v>77,3755</v>
      </c>
      <c r="M26" s="9" t="s">
        <v>828</v>
      </c>
    </row>
    <row r="27" spans="1:13" x14ac:dyDescent="0.2">
      <c r="A27" s="12" t="s">
        <v>830</v>
      </c>
      <c r="B27" s="12" t="s">
        <v>831</v>
      </c>
      <c r="C27" s="12" t="s">
        <v>460</v>
      </c>
      <c r="D27" s="12" t="str">
        <f>"0,9103"</f>
        <v>0,9103</v>
      </c>
      <c r="E27" s="12" t="s">
        <v>18</v>
      </c>
      <c r="F27" s="12" t="s">
        <v>36</v>
      </c>
      <c r="G27" s="17" t="s">
        <v>24</v>
      </c>
      <c r="H27" s="13" t="s">
        <v>66</v>
      </c>
      <c r="I27" s="13" t="s">
        <v>66</v>
      </c>
      <c r="J27" s="13"/>
      <c r="K27" s="12" t="str">
        <f>"85,0"</f>
        <v>85,0</v>
      </c>
      <c r="L27" s="17" t="str">
        <f>"77,3755"</f>
        <v>77,3755</v>
      </c>
      <c r="M27" s="12" t="s">
        <v>832</v>
      </c>
    </row>
    <row r="29" spans="1:13" ht="15" x14ac:dyDescent="0.2">
      <c r="A29" s="35" t="s">
        <v>137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x14ac:dyDescent="0.2">
      <c r="A30" s="9" t="s">
        <v>834</v>
      </c>
      <c r="B30" s="9" t="s">
        <v>835</v>
      </c>
      <c r="C30" s="9" t="s">
        <v>836</v>
      </c>
      <c r="D30" s="9" t="str">
        <f>"0,7901"</f>
        <v>0,7901</v>
      </c>
      <c r="E30" s="9" t="s">
        <v>18</v>
      </c>
      <c r="F30" s="9" t="s">
        <v>280</v>
      </c>
      <c r="G30" s="10" t="s">
        <v>24</v>
      </c>
      <c r="H30" s="10" t="s">
        <v>66</v>
      </c>
      <c r="I30" s="11" t="s">
        <v>284</v>
      </c>
      <c r="J30" s="11"/>
      <c r="K30" s="9" t="str">
        <f>"92,5"</f>
        <v>92,5</v>
      </c>
      <c r="L30" s="10" t="str">
        <f>"73,0842"</f>
        <v>73,0842</v>
      </c>
      <c r="M30" s="9" t="s">
        <v>187</v>
      </c>
    </row>
    <row r="31" spans="1:13" x14ac:dyDescent="0.2">
      <c r="A31" s="12" t="s">
        <v>838</v>
      </c>
      <c r="B31" s="12" t="s">
        <v>839</v>
      </c>
      <c r="C31" s="12" t="s">
        <v>840</v>
      </c>
      <c r="D31" s="12" t="str">
        <f>"0,7794"</f>
        <v>0,7794</v>
      </c>
      <c r="E31" s="12" t="s">
        <v>18</v>
      </c>
      <c r="F31" s="12" t="s">
        <v>36</v>
      </c>
      <c r="G31" s="17" t="s">
        <v>468</v>
      </c>
      <c r="H31" s="13" t="s">
        <v>303</v>
      </c>
      <c r="I31" s="13" t="s">
        <v>303</v>
      </c>
      <c r="J31" s="13"/>
      <c r="K31" s="12" t="str">
        <f>"97,5"</f>
        <v>97,5</v>
      </c>
      <c r="L31" s="17" t="str">
        <f>"89,9739"</f>
        <v>89,9739</v>
      </c>
      <c r="M31" s="12" t="s">
        <v>841</v>
      </c>
    </row>
    <row r="33" spans="1:13" ht="15" x14ac:dyDescent="0.2">
      <c r="A33" s="35" t="s">
        <v>13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13" x14ac:dyDescent="0.2">
      <c r="A34" s="9" t="s">
        <v>496</v>
      </c>
      <c r="B34" s="9" t="s">
        <v>497</v>
      </c>
      <c r="C34" s="9" t="s">
        <v>498</v>
      </c>
      <c r="D34" s="9" t="str">
        <f>"0,7249"</f>
        <v>0,7249</v>
      </c>
      <c r="E34" s="9" t="s">
        <v>35</v>
      </c>
      <c r="F34" s="9" t="s">
        <v>36</v>
      </c>
      <c r="G34" s="10" t="s">
        <v>292</v>
      </c>
      <c r="H34" s="10" t="s">
        <v>65</v>
      </c>
      <c r="I34" s="11" t="s">
        <v>297</v>
      </c>
      <c r="J34" s="11"/>
      <c r="K34" s="9" t="str">
        <f>"80,0"</f>
        <v>80,0</v>
      </c>
      <c r="L34" s="10" t="str">
        <f>"57,9920"</f>
        <v>57,9920</v>
      </c>
      <c r="M34" s="9" t="s">
        <v>499</v>
      </c>
    </row>
    <row r="35" spans="1:13" x14ac:dyDescent="0.2">
      <c r="A35" s="14" t="s">
        <v>843</v>
      </c>
      <c r="B35" s="14" t="s">
        <v>844</v>
      </c>
      <c r="C35" s="14" t="s">
        <v>845</v>
      </c>
      <c r="D35" s="14" t="str">
        <f>"0,7132"</f>
        <v>0,7132</v>
      </c>
      <c r="E35" s="14" t="s">
        <v>35</v>
      </c>
      <c r="F35" s="14" t="s">
        <v>36</v>
      </c>
      <c r="G35" s="15" t="s">
        <v>98</v>
      </c>
      <c r="H35" s="15" t="s">
        <v>20</v>
      </c>
      <c r="I35" s="15" t="s">
        <v>275</v>
      </c>
      <c r="J35" s="16"/>
      <c r="K35" s="14" t="str">
        <f>"147,5"</f>
        <v>147,5</v>
      </c>
      <c r="L35" s="15" t="str">
        <f>"105,1970"</f>
        <v>105,1970</v>
      </c>
      <c r="M35" s="14" t="s">
        <v>80</v>
      </c>
    </row>
    <row r="36" spans="1:13" x14ac:dyDescent="0.2">
      <c r="A36" s="14" t="s">
        <v>847</v>
      </c>
      <c r="B36" s="14" t="s">
        <v>848</v>
      </c>
      <c r="C36" s="14" t="s">
        <v>849</v>
      </c>
      <c r="D36" s="14" t="str">
        <f>"0,7152"</f>
        <v>0,7152</v>
      </c>
      <c r="E36" s="14" t="s">
        <v>18</v>
      </c>
      <c r="F36" s="14" t="s">
        <v>693</v>
      </c>
      <c r="G36" s="15" t="s">
        <v>555</v>
      </c>
      <c r="H36" s="15" t="s">
        <v>556</v>
      </c>
      <c r="I36" s="16" t="s">
        <v>167</v>
      </c>
      <c r="J36" s="16"/>
      <c r="K36" s="14" t="str">
        <f>"137,5"</f>
        <v>137,5</v>
      </c>
      <c r="L36" s="15" t="str">
        <f>"98,3400"</f>
        <v>98,3400</v>
      </c>
      <c r="M36" s="14" t="s">
        <v>850</v>
      </c>
    </row>
    <row r="37" spans="1:13" x14ac:dyDescent="0.2">
      <c r="A37" s="14" t="s">
        <v>852</v>
      </c>
      <c r="B37" s="14" t="s">
        <v>853</v>
      </c>
      <c r="C37" s="14" t="s">
        <v>854</v>
      </c>
      <c r="D37" s="14" t="str">
        <f>"0,7228"</f>
        <v>0,7228</v>
      </c>
      <c r="E37" s="14" t="s">
        <v>18</v>
      </c>
      <c r="F37" s="14" t="s">
        <v>36</v>
      </c>
      <c r="G37" s="15" t="s">
        <v>514</v>
      </c>
      <c r="H37" s="16" t="s">
        <v>554</v>
      </c>
      <c r="I37" s="16" t="s">
        <v>555</v>
      </c>
      <c r="J37" s="16"/>
      <c r="K37" s="14" t="str">
        <f>"122,5"</f>
        <v>122,5</v>
      </c>
      <c r="L37" s="15" t="str">
        <f>"88,5430"</f>
        <v>88,5430</v>
      </c>
      <c r="M37" s="14" t="s">
        <v>144</v>
      </c>
    </row>
    <row r="38" spans="1:13" x14ac:dyDescent="0.2">
      <c r="A38" s="14" t="s">
        <v>856</v>
      </c>
      <c r="B38" s="14" t="s">
        <v>857</v>
      </c>
      <c r="C38" s="14" t="s">
        <v>233</v>
      </c>
      <c r="D38" s="14" t="str">
        <f>"0,7193"</f>
        <v>0,7193</v>
      </c>
      <c r="E38" s="14" t="s">
        <v>18</v>
      </c>
      <c r="F38" s="14" t="s">
        <v>36</v>
      </c>
      <c r="G38" s="15" t="s">
        <v>270</v>
      </c>
      <c r="H38" s="16" t="s">
        <v>271</v>
      </c>
      <c r="I38" s="16" t="s">
        <v>271</v>
      </c>
      <c r="J38" s="16"/>
      <c r="K38" s="14" t="str">
        <f>"120,0"</f>
        <v>120,0</v>
      </c>
      <c r="L38" s="15" t="str">
        <f>"86,3160"</f>
        <v>86,3160</v>
      </c>
      <c r="M38" s="14" t="s">
        <v>80</v>
      </c>
    </row>
    <row r="39" spans="1:13" x14ac:dyDescent="0.2">
      <c r="A39" s="14" t="s">
        <v>859</v>
      </c>
      <c r="B39" s="14" t="s">
        <v>860</v>
      </c>
      <c r="C39" s="14" t="s">
        <v>795</v>
      </c>
      <c r="D39" s="14" t="str">
        <f>"0,7126"</f>
        <v>0,7126</v>
      </c>
      <c r="E39" s="14" t="s">
        <v>18</v>
      </c>
      <c r="F39" s="14" t="s">
        <v>35</v>
      </c>
      <c r="G39" s="15" t="s">
        <v>39</v>
      </c>
      <c r="H39" s="16" t="s">
        <v>40</v>
      </c>
      <c r="I39" s="16" t="s">
        <v>40</v>
      </c>
      <c r="J39" s="16"/>
      <c r="K39" s="14" t="str">
        <f>"105,0"</f>
        <v>105,0</v>
      </c>
      <c r="L39" s="15" t="str">
        <f>"74,8230"</f>
        <v>74,8230</v>
      </c>
      <c r="M39" s="14" t="s">
        <v>187</v>
      </c>
    </row>
    <row r="40" spans="1:13" x14ac:dyDescent="0.2">
      <c r="A40" s="12" t="s">
        <v>862</v>
      </c>
      <c r="B40" s="12" t="s">
        <v>863</v>
      </c>
      <c r="C40" s="12" t="s">
        <v>498</v>
      </c>
      <c r="D40" s="12" t="str">
        <f>"0,7249"</f>
        <v>0,7249</v>
      </c>
      <c r="E40" s="12" t="s">
        <v>35</v>
      </c>
      <c r="F40" s="12" t="s">
        <v>36</v>
      </c>
      <c r="G40" s="17" t="s">
        <v>270</v>
      </c>
      <c r="H40" s="17" t="s">
        <v>514</v>
      </c>
      <c r="I40" s="17" t="s">
        <v>271</v>
      </c>
      <c r="J40" s="13"/>
      <c r="K40" s="12" t="str">
        <f>"125,0"</f>
        <v>125,0</v>
      </c>
      <c r="L40" s="17" t="str">
        <f>"102,3921"</f>
        <v>102,3921</v>
      </c>
      <c r="M40" s="12" t="s">
        <v>864</v>
      </c>
    </row>
    <row r="42" spans="1:13" ht="15" x14ac:dyDescent="0.2">
      <c r="A42" s="35" t="s">
        <v>30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3" x14ac:dyDescent="0.2">
      <c r="A43" s="9" t="s">
        <v>866</v>
      </c>
      <c r="B43" s="9" t="s">
        <v>867</v>
      </c>
      <c r="C43" s="9" t="s">
        <v>868</v>
      </c>
      <c r="D43" s="9" t="str">
        <f>"0,6764"</f>
        <v>0,6764</v>
      </c>
      <c r="E43" s="9" t="s">
        <v>18</v>
      </c>
      <c r="F43" s="9" t="s">
        <v>36</v>
      </c>
      <c r="G43" s="10" t="s">
        <v>98</v>
      </c>
      <c r="H43" s="10" t="s">
        <v>275</v>
      </c>
      <c r="I43" s="10" t="s">
        <v>323</v>
      </c>
      <c r="J43" s="11"/>
      <c r="K43" s="9" t="str">
        <f>"152,5"</f>
        <v>152,5</v>
      </c>
      <c r="L43" s="10" t="str">
        <f>"103,1510"</f>
        <v>103,1510</v>
      </c>
      <c r="M43" s="9" t="s">
        <v>144</v>
      </c>
    </row>
    <row r="44" spans="1:13" x14ac:dyDescent="0.2">
      <c r="A44" s="14" t="s">
        <v>870</v>
      </c>
      <c r="B44" s="14" t="s">
        <v>871</v>
      </c>
      <c r="C44" s="14" t="s">
        <v>872</v>
      </c>
      <c r="D44" s="14" t="str">
        <f>"0,6849"</f>
        <v>0,6849</v>
      </c>
      <c r="E44" s="14" t="s">
        <v>18</v>
      </c>
      <c r="F44" s="14" t="s">
        <v>36</v>
      </c>
      <c r="G44" s="15" t="s">
        <v>98</v>
      </c>
      <c r="H44" s="15" t="s">
        <v>20</v>
      </c>
      <c r="I44" s="15" t="s">
        <v>21</v>
      </c>
      <c r="J44" s="16"/>
      <c r="K44" s="14" t="str">
        <f>"150,0"</f>
        <v>150,0</v>
      </c>
      <c r="L44" s="15" t="str">
        <f>"102,7350"</f>
        <v>102,7350</v>
      </c>
      <c r="M44" s="14" t="s">
        <v>873</v>
      </c>
    </row>
    <row r="45" spans="1:13" x14ac:dyDescent="0.2">
      <c r="A45" s="14" t="s">
        <v>875</v>
      </c>
      <c r="B45" s="14" t="s">
        <v>876</v>
      </c>
      <c r="C45" s="14" t="s">
        <v>877</v>
      </c>
      <c r="D45" s="14" t="str">
        <f>"0,6876"</f>
        <v>0,6876</v>
      </c>
      <c r="E45" s="14" t="s">
        <v>18</v>
      </c>
      <c r="F45" s="14" t="s">
        <v>36</v>
      </c>
      <c r="G45" s="15" t="s">
        <v>21</v>
      </c>
      <c r="H45" s="15" t="s">
        <v>878</v>
      </c>
      <c r="I45" s="16" t="s">
        <v>37</v>
      </c>
      <c r="J45" s="16"/>
      <c r="K45" s="14" t="str">
        <f>"162,5"</f>
        <v>162,5</v>
      </c>
      <c r="L45" s="15" t="str">
        <f>"111,7350"</f>
        <v>111,7350</v>
      </c>
      <c r="M45" s="14" t="s">
        <v>80</v>
      </c>
    </row>
    <row r="46" spans="1:13" x14ac:dyDescent="0.2">
      <c r="A46" s="14" t="s">
        <v>880</v>
      </c>
      <c r="B46" s="14" t="s">
        <v>881</v>
      </c>
      <c r="C46" s="14" t="s">
        <v>882</v>
      </c>
      <c r="D46" s="14" t="str">
        <f>"0,6734"</f>
        <v>0,6734</v>
      </c>
      <c r="E46" s="14" t="s">
        <v>18</v>
      </c>
      <c r="F46" s="14" t="s">
        <v>36</v>
      </c>
      <c r="G46" s="15" t="s">
        <v>22</v>
      </c>
      <c r="H46" s="16" t="s">
        <v>37</v>
      </c>
      <c r="I46" s="16" t="s">
        <v>37</v>
      </c>
      <c r="J46" s="16"/>
      <c r="K46" s="14" t="str">
        <f>"155,0"</f>
        <v>155,0</v>
      </c>
      <c r="L46" s="15" t="str">
        <f>"104,3770"</f>
        <v>104,3770</v>
      </c>
      <c r="M46" s="14" t="s">
        <v>80</v>
      </c>
    </row>
    <row r="47" spans="1:13" x14ac:dyDescent="0.2">
      <c r="A47" s="14" t="s">
        <v>884</v>
      </c>
      <c r="B47" s="14" t="s">
        <v>885</v>
      </c>
      <c r="C47" s="14" t="s">
        <v>886</v>
      </c>
      <c r="D47" s="14" t="str">
        <f>"0,6843"</f>
        <v>0,6843</v>
      </c>
      <c r="E47" s="14" t="s">
        <v>18</v>
      </c>
      <c r="F47" s="14" t="s">
        <v>36</v>
      </c>
      <c r="G47" s="15" t="s">
        <v>514</v>
      </c>
      <c r="H47" s="15" t="s">
        <v>461</v>
      </c>
      <c r="I47" s="16" t="s">
        <v>166</v>
      </c>
      <c r="J47" s="16"/>
      <c r="K47" s="14" t="str">
        <f>"130,0"</f>
        <v>130,0</v>
      </c>
      <c r="L47" s="15" t="str">
        <f>"88,9590"</f>
        <v>88,9590</v>
      </c>
      <c r="M47" s="14" t="s">
        <v>144</v>
      </c>
    </row>
    <row r="48" spans="1:13" x14ac:dyDescent="0.2">
      <c r="A48" s="14" t="s">
        <v>887</v>
      </c>
      <c r="B48" s="14" t="s">
        <v>511</v>
      </c>
      <c r="C48" s="14" t="s">
        <v>512</v>
      </c>
      <c r="D48" s="14" t="str">
        <f>"0,6719"</f>
        <v>0,6719</v>
      </c>
      <c r="E48" s="14" t="s">
        <v>35</v>
      </c>
      <c r="F48" s="14" t="s">
        <v>513</v>
      </c>
      <c r="G48" s="15" t="s">
        <v>271</v>
      </c>
      <c r="H48" s="15" t="s">
        <v>461</v>
      </c>
      <c r="I48" s="16" t="s">
        <v>555</v>
      </c>
      <c r="J48" s="16"/>
      <c r="K48" s="14" t="str">
        <f>"130,0"</f>
        <v>130,0</v>
      </c>
      <c r="L48" s="15" t="str">
        <f>"87,3470"</f>
        <v>87,3470</v>
      </c>
      <c r="M48" s="14" t="s">
        <v>338</v>
      </c>
    </row>
    <row r="49" spans="1:13" x14ac:dyDescent="0.2">
      <c r="A49" s="14" t="s">
        <v>888</v>
      </c>
      <c r="B49" s="14" t="s">
        <v>889</v>
      </c>
      <c r="C49" s="14" t="s">
        <v>890</v>
      </c>
      <c r="D49" s="14" t="str">
        <f>"0,6699"</f>
        <v>0,6699</v>
      </c>
      <c r="E49" s="14" t="s">
        <v>35</v>
      </c>
      <c r="F49" s="14" t="s">
        <v>36</v>
      </c>
      <c r="G49" s="16" t="s">
        <v>167</v>
      </c>
      <c r="H49" s="16" t="s">
        <v>167</v>
      </c>
      <c r="I49" s="16"/>
      <c r="J49" s="16"/>
      <c r="K49" s="14" t="str">
        <f>"0.00"</f>
        <v>0.00</v>
      </c>
      <c r="L49" s="15" t="str">
        <f>"0,0000"</f>
        <v>0,0000</v>
      </c>
      <c r="M49" s="14" t="s">
        <v>891</v>
      </c>
    </row>
    <row r="50" spans="1:13" x14ac:dyDescent="0.2">
      <c r="A50" s="14" t="s">
        <v>893</v>
      </c>
      <c r="B50" s="14" t="s">
        <v>894</v>
      </c>
      <c r="C50" s="14" t="s">
        <v>868</v>
      </c>
      <c r="D50" s="14" t="str">
        <f>"0,6764"</f>
        <v>0,6764</v>
      </c>
      <c r="E50" s="14" t="s">
        <v>18</v>
      </c>
      <c r="F50" s="14" t="s">
        <v>36</v>
      </c>
      <c r="G50" s="15" t="s">
        <v>98</v>
      </c>
      <c r="H50" s="15" t="s">
        <v>20</v>
      </c>
      <c r="I50" s="16" t="s">
        <v>275</v>
      </c>
      <c r="J50" s="16"/>
      <c r="K50" s="14" t="str">
        <f>"145,0"</f>
        <v>145,0</v>
      </c>
      <c r="L50" s="15" t="str">
        <f>"98,0780"</f>
        <v>98,0780</v>
      </c>
      <c r="M50" s="14" t="s">
        <v>895</v>
      </c>
    </row>
    <row r="51" spans="1:13" x14ac:dyDescent="0.2">
      <c r="A51" s="14" t="s">
        <v>897</v>
      </c>
      <c r="B51" s="14" t="s">
        <v>898</v>
      </c>
      <c r="C51" s="14" t="s">
        <v>899</v>
      </c>
      <c r="D51" s="14" t="str">
        <f>"0,6754"</f>
        <v>0,6754</v>
      </c>
      <c r="E51" s="14" t="s">
        <v>18</v>
      </c>
      <c r="F51" s="14" t="s">
        <v>36</v>
      </c>
      <c r="G51" s="15" t="s">
        <v>555</v>
      </c>
      <c r="H51" s="16" t="s">
        <v>556</v>
      </c>
      <c r="I51" s="16" t="s">
        <v>556</v>
      </c>
      <c r="J51" s="16"/>
      <c r="K51" s="14" t="str">
        <f>"132,5"</f>
        <v>132,5</v>
      </c>
      <c r="L51" s="15" t="str">
        <f>"91,2803"</f>
        <v>91,2803</v>
      </c>
      <c r="M51" s="14" t="s">
        <v>80</v>
      </c>
    </row>
    <row r="52" spans="1:13" x14ac:dyDescent="0.2">
      <c r="A52" s="14" t="s">
        <v>900</v>
      </c>
      <c r="B52" s="14" t="s">
        <v>901</v>
      </c>
      <c r="C52" s="14" t="s">
        <v>902</v>
      </c>
      <c r="D52" s="14" t="str">
        <f>"0,6714"</f>
        <v>0,6714</v>
      </c>
      <c r="E52" s="14" t="s">
        <v>18</v>
      </c>
      <c r="F52" s="14" t="s">
        <v>36</v>
      </c>
      <c r="G52" s="16" t="s">
        <v>556</v>
      </c>
      <c r="H52" s="16" t="s">
        <v>167</v>
      </c>
      <c r="I52" s="16" t="s">
        <v>167</v>
      </c>
      <c r="J52" s="16"/>
      <c r="K52" s="14" t="str">
        <f>"0.00"</f>
        <v>0.00</v>
      </c>
      <c r="L52" s="15" t="str">
        <f>"0,0000"</f>
        <v>0,0000</v>
      </c>
      <c r="M52" s="14" t="s">
        <v>80</v>
      </c>
    </row>
    <row r="53" spans="1:13" x14ac:dyDescent="0.2">
      <c r="A53" s="12" t="s">
        <v>904</v>
      </c>
      <c r="B53" s="12" t="s">
        <v>905</v>
      </c>
      <c r="C53" s="12" t="s">
        <v>645</v>
      </c>
      <c r="D53" s="12" t="str">
        <f>"0,6749"</f>
        <v>0,6749</v>
      </c>
      <c r="E53" s="12" t="s">
        <v>18</v>
      </c>
      <c r="F53" s="12" t="s">
        <v>906</v>
      </c>
      <c r="G53" s="17" t="s">
        <v>270</v>
      </c>
      <c r="H53" s="17" t="s">
        <v>271</v>
      </c>
      <c r="I53" s="13" t="s">
        <v>555</v>
      </c>
      <c r="J53" s="13"/>
      <c r="K53" s="12" t="str">
        <f>"125,0"</f>
        <v>125,0</v>
      </c>
      <c r="L53" s="17" t="str">
        <f>"105,1157"</f>
        <v>105,1157</v>
      </c>
      <c r="M53" s="12" t="s">
        <v>80</v>
      </c>
    </row>
    <row r="55" spans="1:13" ht="15" x14ac:dyDescent="0.2">
      <c r="A55" s="35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1:13" x14ac:dyDescent="0.2">
      <c r="A56" s="9" t="s">
        <v>908</v>
      </c>
      <c r="B56" s="9" t="s">
        <v>909</v>
      </c>
      <c r="C56" s="9" t="s">
        <v>910</v>
      </c>
      <c r="D56" s="9" t="str">
        <f>"0,6647"</f>
        <v>0,6647</v>
      </c>
      <c r="E56" s="9" t="s">
        <v>18</v>
      </c>
      <c r="F56" s="9" t="s">
        <v>36</v>
      </c>
      <c r="G56" s="10" t="s">
        <v>99</v>
      </c>
      <c r="H56" s="11" t="s">
        <v>39</v>
      </c>
      <c r="I56" s="10" t="s">
        <v>39</v>
      </c>
      <c r="J56" s="11"/>
      <c r="K56" s="9" t="str">
        <f>"105,0"</f>
        <v>105,0</v>
      </c>
      <c r="L56" s="10" t="str">
        <f>"69,7935"</f>
        <v>69,7935</v>
      </c>
      <c r="M56" s="9" t="s">
        <v>144</v>
      </c>
    </row>
    <row r="57" spans="1:13" x14ac:dyDescent="0.2">
      <c r="A57" s="14" t="s">
        <v>912</v>
      </c>
      <c r="B57" s="14" t="s">
        <v>913</v>
      </c>
      <c r="C57" s="14" t="s">
        <v>914</v>
      </c>
      <c r="D57" s="14" t="str">
        <f>"0,6519"</f>
        <v>0,6519</v>
      </c>
      <c r="E57" s="14" t="s">
        <v>18</v>
      </c>
      <c r="F57" s="14" t="s">
        <v>915</v>
      </c>
      <c r="G57" s="15" t="s">
        <v>22</v>
      </c>
      <c r="H57" s="15" t="s">
        <v>37</v>
      </c>
      <c r="I57" s="16" t="s">
        <v>27</v>
      </c>
      <c r="J57" s="16"/>
      <c r="K57" s="14" t="str">
        <f>"165,0"</f>
        <v>165,0</v>
      </c>
      <c r="L57" s="15" t="str">
        <f>"107,5635"</f>
        <v>107,5635</v>
      </c>
      <c r="M57" s="14" t="s">
        <v>144</v>
      </c>
    </row>
    <row r="58" spans="1:13" x14ac:dyDescent="0.2">
      <c r="A58" s="14" t="s">
        <v>917</v>
      </c>
      <c r="B58" s="14" t="s">
        <v>918</v>
      </c>
      <c r="C58" s="14" t="s">
        <v>919</v>
      </c>
      <c r="D58" s="14" t="str">
        <f>"0,6406"</f>
        <v>0,6406</v>
      </c>
      <c r="E58" s="14" t="s">
        <v>18</v>
      </c>
      <c r="F58" s="14" t="s">
        <v>723</v>
      </c>
      <c r="G58" s="15" t="s">
        <v>98</v>
      </c>
      <c r="H58" s="15" t="s">
        <v>167</v>
      </c>
      <c r="I58" s="16" t="s">
        <v>20</v>
      </c>
      <c r="J58" s="16"/>
      <c r="K58" s="14" t="str">
        <f>"142,5"</f>
        <v>142,5</v>
      </c>
      <c r="L58" s="15" t="str">
        <f>"91,2855"</f>
        <v>91,2855</v>
      </c>
      <c r="M58" s="14" t="s">
        <v>18</v>
      </c>
    </row>
    <row r="59" spans="1:13" x14ac:dyDescent="0.2">
      <c r="A59" s="14" t="s">
        <v>921</v>
      </c>
      <c r="B59" s="14" t="s">
        <v>922</v>
      </c>
      <c r="C59" s="14" t="s">
        <v>923</v>
      </c>
      <c r="D59" s="14" t="str">
        <f>"0,6388"</f>
        <v>0,6388</v>
      </c>
      <c r="E59" s="14" t="s">
        <v>18</v>
      </c>
      <c r="F59" s="14" t="s">
        <v>36</v>
      </c>
      <c r="G59" s="15" t="s">
        <v>167</v>
      </c>
      <c r="H59" s="16" t="s">
        <v>275</v>
      </c>
      <c r="I59" s="16" t="s">
        <v>275</v>
      </c>
      <c r="J59" s="16"/>
      <c r="K59" s="14" t="str">
        <f>"142,5"</f>
        <v>142,5</v>
      </c>
      <c r="L59" s="15" t="str">
        <f>"91,0290"</f>
        <v>91,0290</v>
      </c>
      <c r="M59" s="14" t="s">
        <v>924</v>
      </c>
    </row>
    <row r="60" spans="1:13" x14ac:dyDescent="0.2">
      <c r="A60" s="12" t="s">
        <v>925</v>
      </c>
      <c r="B60" s="12" t="s">
        <v>926</v>
      </c>
      <c r="C60" s="12" t="s">
        <v>927</v>
      </c>
      <c r="D60" s="12" t="str">
        <f>"0,6499"</f>
        <v>0,6499</v>
      </c>
      <c r="E60" s="12" t="s">
        <v>35</v>
      </c>
      <c r="F60" s="12" t="s">
        <v>36</v>
      </c>
      <c r="G60" s="13" t="s">
        <v>21</v>
      </c>
      <c r="H60" s="13" t="s">
        <v>21</v>
      </c>
      <c r="I60" s="13"/>
      <c r="J60" s="13"/>
      <c r="K60" s="12" t="str">
        <f>"0.00"</f>
        <v>0.00</v>
      </c>
      <c r="L60" s="17" t="str">
        <f>"0,0000"</f>
        <v>0,0000</v>
      </c>
      <c r="M60" s="12" t="s">
        <v>928</v>
      </c>
    </row>
    <row r="62" spans="1:13" ht="15" x14ac:dyDescent="0.2">
      <c r="A62" s="35" t="s">
        <v>58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3" x14ac:dyDescent="0.2">
      <c r="A63" s="9" t="s">
        <v>930</v>
      </c>
      <c r="B63" s="9" t="s">
        <v>931</v>
      </c>
      <c r="C63" s="9" t="s">
        <v>932</v>
      </c>
      <c r="D63" s="9" t="str">
        <f>"0,6226"</f>
        <v>0,6226</v>
      </c>
      <c r="E63" s="9" t="s">
        <v>18</v>
      </c>
      <c r="F63" s="9" t="s">
        <v>36</v>
      </c>
      <c r="G63" s="10" t="s">
        <v>554</v>
      </c>
      <c r="H63" s="10" t="s">
        <v>555</v>
      </c>
      <c r="I63" s="11" t="s">
        <v>556</v>
      </c>
      <c r="J63" s="11"/>
      <c r="K63" s="9" t="str">
        <f>"132,5"</f>
        <v>132,5</v>
      </c>
      <c r="L63" s="10" t="str">
        <f>"82,4945"</f>
        <v>82,4945</v>
      </c>
      <c r="M63" s="9" t="s">
        <v>933</v>
      </c>
    </row>
    <row r="64" spans="1:13" x14ac:dyDescent="0.2">
      <c r="A64" s="14" t="s">
        <v>935</v>
      </c>
      <c r="B64" s="14" t="s">
        <v>936</v>
      </c>
      <c r="C64" s="14" t="s">
        <v>937</v>
      </c>
      <c r="D64" s="14" t="str">
        <f>"0,6247"</f>
        <v>0,6247</v>
      </c>
      <c r="E64" s="14" t="s">
        <v>18</v>
      </c>
      <c r="F64" s="14" t="s">
        <v>36</v>
      </c>
      <c r="G64" s="15" t="s">
        <v>28</v>
      </c>
      <c r="H64" s="15" t="s">
        <v>322</v>
      </c>
      <c r="I64" s="16" t="s">
        <v>42</v>
      </c>
      <c r="J64" s="16"/>
      <c r="K64" s="14" t="str">
        <f>"185,0"</f>
        <v>185,0</v>
      </c>
      <c r="L64" s="15" t="str">
        <f>"115,5695"</f>
        <v>115,5695</v>
      </c>
      <c r="M64" s="14" t="s">
        <v>80</v>
      </c>
    </row>
    <row r="65" spans="1:13" x14ac:dyDescent="0.2">
      <c r="A65" s="14" t="s">
        <v>939</v>
      </c>
      <c r="B65" s="14" t="s">
        <v>940</v>
      </c>
      <c r="C65" s="14" t="s">
        <v>941</v>
      </c>
      <c r="D65" s="14" t="str">
        <f>"0,6093"</f>
        <v>0,6093</v>
      </c>
      <c r="E65" s="14" t="s">
        <v>18</v>
      </c>
      <c r="F65" s="14" t="s">
        <v>36</v>
      </c>
      <c r="G65" s="15" t="s">
        <v>37</v>
      </c>
      <c r="H65" s="15" t="s">
        <v>26</v>
      </c>
      <c r="I65" s="16"/>
      <c r="J65" s="16"/>
      <c r="K65" s="14" t="str">
        <f>"170,0"</f>
        <v>170,0</v>
      </c>
      <c r="L65" s="15" t="str">
        <f>"103,5810"</f>
        <v>103,5810</v>
      </c>
      <c r="M65" s="14" t="s">
        <v>80</v>
      </c>
    </row>
    <row r="66" spans="1:13" x14ac:dyDescent="0.2">
      <c r="A66" s="14" t="s">
        <v>943</v>
      </c>
      <c r="B66" s="14" t="s">
        <v>944</v>
      </c>
      <c r="C66" s="14" t="s">
        <v>945</v>
      </c>
      <c r="D66" s="14" t="str">
        <f>"0,6152"</f>
        <v>0,6152</v>
      </c>
      <c r="E66" s="14" t="s">
        <v>18</v>
      </c>
      <c r="F66" s="14" t="s">
        <v>36</v>
      </c>
      <c r="G66" s="15" t="s">
        <v>324</v>
      </c>
      <c r="H66" s="16" t="s">
        <v>37</v>
      </c>
      <c r="I66" s="15" t="s">
        <v>37</v>
      </c>
      <c r="J66" s="16"/>
      <c r="K66" s="14" t="str">
        <f>"165,0"</f>
        <v>165,0</v>
      </c>
      <c r="L66" s="15" t="str">
        <f>"101,5080"</f>
        <v>101,5080</v>
      </c>
      <c r="M66" s="14" t="s">
        <v>946</v>
      </c>
    </row>
    <row r="67" spans="1:13" x14ac:dyDescent="0.2">
      <c r="A67" s="14" t="s">
        <v>935</v>
      </c>
      <c r="B67" s="14" t="s">
        <v>947</v>
      </c>
      <c r="C67" s="14" t="s">
        <v>937</v>
      </c>
      <c r="D67" s="14" t="str">
        <f>"0,6247"</f>
        <v>0,6247</v>
      </c>
      <c r="E67" s="14" t="s">
        <v>18</v>
      </c>
      <c r="F67" s="14" t="s">
        <v>36</v>
      </c>
      <c r="G67" s="15" t="s">
        <v>28</v>
      </c>
      <c r="H67" s="15" t="s">
        <v>322</v>
      </c>
      <c r="I67" s="16" t="s">
        <v>42</v>
      </c>
      <c r="J67" s="16"/>
      <c r="K67" s="14" t="str">
        <f>"185,0"</f>
        <v>185,0</v>
      </c>
      <c r="L67" s="15" t="str">
        <f>"115,5695"</f>
        <v>115,5695</v>
      </c>
      <c r="M67" s="14" t="s">
        <v>80</v>
      </c>
    </row>
    <row r="68" spans="1:13" x14ac:dyDescent="0.2">
      <c r="A68" s="14" t="s">
        <v>949</v>
      </c>
      <c r="B68" s="14" t="s">
        <v>950</v>
      </c>
      <c r="C68" s="14" t="s">
        <v>951</v>
      </c>
      <c r="D68" s="14" t="str">
        <f>"0,6088"</f>
        <v>0,6088</v>
      </c>
      <c r="E68" s="14" t="s">
        <v>35</v>
      </c>
      <c r="F68" s="14" t="s">
        <v>36</v>
      </c>
      <c r="G68" s="15" t="s">
        <v>37</v>
      </c>
      <c r="H68" s="15" t="s">
        <v>26</v>
      </c>
      <c r="I68" s="16" t="s">
        <v>76</v>
      </c>
      <c r="J68" s="16"/>
      <c r="K68" s="14" t="str">
        <f>"170,0"</f>
        <v>170,0</v>
      </c>
      <c r="L68" s="15" t="str">
        <f>"107,9463"</f>
        <v>107,9463</v>
      </c>
      <c r="M68" s="14" t="s">
        <v>952</v>
      </c>
    </row>
    <row r="69" spans="1:13" x14ac:dyDescent="0.2">
      <c r="A69" s="14" t="s">
        <v>954</v>
      </c>
      <c r="B69" s="14" t="s">
        <v>955</v>
      </c>
      <c r="C69" s="14" t="s">
        <v>956</v>
      </c>
      <c r="D69" s="14" t="str">
        <f>"0,6166"</f>
        <v>0,6166</v>
      </c>
      <c r="E69" s="14" t="s">
        <v>35</v>
      </c>
      <c r="F69" s="14" t="s">
        <v>36</v>
      </c>
      <c r="G69" s="15" t="s">
        <v>98</v>
      </c>
      <c r="H69" s="15" t="s">
        <v>20</v>
      </c>
      <c r="I69" s="15" t="s">
        <v>21</v>
      </c>
      <c r="J69" s="16"/>
      <c r="K69" s="14" t="str">
        <f>"150,0"</f>
        <v>150,0</v>
      </c>
      <c r="L69" s="15" t="str">
        <f>"95,3572"</f>
        <v>95,3572</v>
      </c>
      <c r="M69" s="14" t="s">
        <v>957</v>
      </c>
    </row>
    <row r="70" spans="1:13" x14ac:dyDescent="0.2">
      <c r="A70" s="14" t="s">
        <v>958</v>
      </c>
      <c r="B70" s="14" t="s">
        <v>959</v>
      </c>
      <c r="C70" s="14" t="s">
        <v>960</v>
      </c>
      <c r="D70" s="14" t="str">
        <f>"0,6155"</f>
        <v>0,6155</v>
      </c>
      <c r="E70" s="14" t="s">
        <v>35</v>
      </c>
      <c r="F70" s="14" t="s">
        <v>36</v>
      </c>
      <c r="G70" s="16" t="s">
        <v>67</v>
      </c>
      <c r="H70" s="16" t="s">
        <v>37</v>
      </c>
      <c r="I70" s="16" t="s">
        <v>37</v>
      </c>
      <c r="J70" s="16"/>
      <c r="K70" s="14" t="str">
        <f>"0.00"</f>
        <v>0.00</v>
      </c>
      <c r="L70" s="15" t="str">
        <f>"0,0000"</f>
        <v>0,0000</v>
      </c>
      <c r="M70" s="14" t="s">
        <v>80</v>
      </c>
    </row>
    <row r="71" spans="1:13" x14ac:dyDescent="0.2">
      <c r="A71" s="12" t="s">
        <v>962</v>
      </c>
      <c r="B71" s="12" t="s">
        <v>963</v>
      </c>
      <c r="C71" s="12" t="s">
        <v>365</v>
      </c>
      <c r="D71" s="12" t="str">
        <f>"0,6121"</f>
        <v>0,6121</v>
      </c>
      <c r="E71" s="12" t="s">
        <v>18</v>
      </c>
      <c r="F71" s="12" t="s">
        <v>467</v>
      </c>
      <c r="G71" s="17" t="s">
        <v>20</v>
      </c>
      <c r="H71" s="17" t="s">
        <v>21</v>
      </c>
      <c r="I71" s="17" t="s">
        <v>323</v>
      </c>
      <c r="J71" s="13"/>
      <c r="K71" s="12" t="str">
        <f>"152,5"</f>
        <v>152,5</v>
      </c>
      <c r="L71" s="17" t="str">
        <f>"99,6927"</f>
        <v>99,6927</v>
      </c>
      <c r="M71" s="12" t="s">
        <v>964</v>
      </c>
    </row>
    <row r="73" spans="1:13" ht="15" x14ac:dyDescent="0.2">
      <c r="A73" s="35" t="s">
        <v>253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3" x14ac:dyDescent="0.2">
      <c r="A74" s="9" t="s">
        <v>966</v>
      </c>
      <c r="B74" s="9" t="s">
        <v>967</v>
      </c>
      <c r="C74" s="9" t="s">
        <v>968</v>
      </c>
      <c r="D74" s="9" t="str">
        <f>"0,6081"</f>
        <v>0,6081</v>
      </c>
      <c r="E74" s="9" t="s">
        <v>18</v>
      </c>
      <c r="F74" s="9" t="s">
        <v>969</v>
      </c>
      <c r="G74" s="10" t="s">
        <v>37</v>
      </c>
      <c r="H74" s="10" t="s">
        <v>38</v>
      </c>
      <c r="I74" s="10" t="s">
        <v>76</v>
      </c>
      <c r="J74" s="11"/>
      <c r="K74" s="9" t="str">
        <f>"175,0"</f>
        <v>175,0</v>
      </c>
      <c r="L74" s="10" t="str">
        <f>"106,4175"</f>
        <v>106,4175</v>
      </c>
      <c r="M74" s="9" t="s">
        <v>169</v>
      </c>
    </row>
    <row r="75" spans="1:13" x14ac:dyDescent="0.2">
      <c r="A75" s="14" t="s">
        <v>971</v>
      </c>
      <c r="B75" s="14" t="s">
        <v>972</v>
      </c>
      <c r="C75" s="14" t="s">
        <v>973</v>
      </c>
      <c r="D75" s="14" t="str">
        <f>"0,5930"</f>
        <v>0,5930</v>
      </c>
      <c r="E75" s="14" t="s">
        <v>18</v>
      </c>
      <c r="F75" s="14" t="s">
        <v>72</v>
      </c>
      <c r="G75" s="15" t="s">
        <v>37</v>
      </c>
      <c r="H75" s="15" t="s">
        <v>26</v>
      </c>
      <c r="I75" s="16" t="s">
        <v>38</v>
      </c>
      <c r="J75" s="16"/>
      <c r="K75" s="14" t="str">
        <f>"170,0"</f>
        <v>170,0</v>
      </c>
      <c r="L75" s="15" t="str">
        <f>"100,8100"</f>
        <v>100,8100</v>
      </c>
      <c r="M75" s="14" t="s">
        <v>974</v>
      </c>
    </row>
    <row r="76" spans="1:13" x14ac:dyDescent="0.2">
      <c r="A76" s="14" t="s">
        <v>975</v>
      </c>
      <c r="B76" s="14" t="s">
        <v>976</v>
      </c>
      <c r="C76" s="14" t="s">
        <v>977</v>
      </c>
      <c r="D76" s="14" t="str">
        <f>"0,5982"</f>
        <v>0,5982</v>
      </c>
      <c r="E76" s="14" t="s">
        <v>18</v>
      </c>
      <c r="F76" s="14" t="s">
        <v>36</v>
      </c>
      <c r="G76" s="16" t="s">
        <v>555</v>
      </c>
      <c r="H76" s="16" t="s">
        <v>555</v>
      </c>
      <c r="I76" s="16" t="s">
        <v>555</v>
      </c>
      <c r="J76" s="16"/>
      <c r="K76" s="14" t="str">
        <f>"0.00"</f>
        <v>0.00</v>
      </c>
      <c r="L76" s="15" t="str">
        <f>"0,0000"</f>
        <v>0,0000</v>
      </c>
      <c r="M76" s="14" t="s">
        <v>144</v>
      </c>
    </row>
    <row r="77" spans="1:13" x14ac:dyDescent="0.2">
      <c r="A77" s="14" t="s">
        <v>978</v>
      </c>
      <c r="B77" s="14" t="s">
        <v>979</v>
      </c>
      <c r="C77" s="14" t="s">
        <v>980</v>
      </c>
      <c r="D77" s="14" t="str">
        <f>"0,5926"</f>
        <v>0,5926</v>
      </c>
      <c r="E77" s="14" t="s">
        <v>35</v>
      </c>
      <c r="F77" s="14" t="s">
        <v>36</v>
      </c>
      <c r="G77" s="16" t="s">
        <v>98</v>
      </c>
      <c r="H77" s="16" t="s">
        <v>21</v>
      </c>
      <c r="I77" s="16" t="s">
        <v>21</v>
      </c>
      <c r="J77" s="16"/>
      <c r="K77" s="14" t="str">
        <f>"0.00"</f>
        <v>0.00</v>
      </c>
      <c r="L77" s="15" t="str">
        <f>"0,0000"</f>
        <v>0,0000</v>
      </c>
      <c r="M77" s="14" t="s">
        <v>169</v>
      </c>
    </row>
    <row r="78" spans="1:13" x14ac:dyDescent="0.2">
      <c r="A78" s="14" t="s">
        <v>982</v>
      </c>
      <c r="B78" s="14" t="s">
        <v>983</v>
      </c>
      <c r="C78" s="14" t="s">
        <v>984</v>
      </c>
      <c r="D78" s="14" t="str">
        <f>"0,5919"</f>
        <v>0,5919</v>
      </c>
      <c r="E78" s="14" t="s">
        <v>18</v>
      </c>
      <c r="F78" s="14" t="s">
        <v>36</v>
      </c>
      <c r="G78" s="15" t="s">
        <v>67</v>
      </c>
      <c r="H78" s="15" t="s">
        <v>37</v>
      </c>
      <c r="I78" s="16" t="s">
        <v>26</v>
      </c>
      <c r="J78" s="16"/>
      <c r="K78" s="14" t="str">
        <f>"165,0"</f>
        <v>165,0</v>
      </c>
      <c r="L78" s="15" t="str">
        <f>"105,6719"</f>
        <v>105,6719</v>
      </c>
      <c r="M78" s="14" t="s">
        <v>80</v>
      </c>
    </row>
    <row r="79" spans="1:13" x14ac:dyDescent="0.2">
      <c r="A79" s="12" t="s">
        <v>986</v>
      </c>
      <c r="B79" s="12" t="s">
        <v>987</v>
      </c>
      <c r="C79" s="12" t="s">
        <v>988</v>
      </c>
      <c r="D79" s="12" t="str">
        <f>"0,5952"</f>
        <v>0,5952</v>
      </c>
      <c r="E79" s="12" t="s">
        <v>18</v>
      </c>
      <c r="F79" s="12" t="s">
        <v>467</v>
      </c>
      <c r="G79" s="17" t="s">
        <v>166</v>
      </c>
      <c r="H79" s="17" t="s">
        <v>98</v>
      </c>
      <c r="I79" s="17" t="s">
        <v>21</v>
      </c>
      <c r="J79" s="13"/>
      <c r="K79" s="12" t="str">
        <f>"150,0"</f>
        <v>150,0</v>
      </c>
      <c r="L79" s="17" t="str">
        <f>"109,3680"</f>
        <v>109,3680</v>
      </c>
      <c r="M79" s="12" t="s">
        <v>144</v>
      </c>
    </row>
    <row r="81" spans="1:13" ht="15" x14ac:dyDescent="0.2">
      <c r="A81" s="35" t="s">
        <v>93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</row>
    <row r="82" spans="1:13" x14ac:dyDescent="0.2">
      <c r="A82" s="9" t="s">
        <v>990</v>
      </c>
      <c r="B82" s="9" t="s">
        <v>991</v>
      </c>
      <c r="C82" s="9" t="s">
        <v>206</v>
      </c>
      <c r="D82" s="9" t="str">
        <f>"0,5724"</f>
        <v>0,5724</v>
      </c>
      <c r="E82" s="9" t="s">
        <v>18</v>
      </c>
      <c r="F82" s="9" t="s">
        <v>992</v>
      </c>
      <c r="G82" s="10" t="s">
        <v>98</v>
      </c>
      <c r="H82" s="10" t="s">
        <v>22</v>
      </c>
      <c r="I82" s="11" t="s">
        <v>67</v>
      </c>
      <c r="J82" s="11"/>
      <c r="K82" s="9" t="str">
        <f>"155,0"</f>
        <v>155,0</v>
      </c>
      <c r="L82" s="10" t="str">
        <f>"88,7220"</f>
        <v>88,7220</v>
      </c>
      <c r="M82" s="9" t="s">
        <v>144</v>
      </c>
    </row>
    <row r="83" spans="1:13" x14ac:dyDescent="0.2">
      <c r="A83" s="14" t="s">
        <v>994</v>
      </c>
      <c r="B83" s="14" t="s">
        <v>995</v>
      </c>
      <c r="C83" s="14" t="s">
        <v>996</v>
      </c>
      <c r="D83" s="14" t="str">
        <f>"0,5787"</f>
        <v>0,5787</v>
      </c>
      <c r="E83" s="14" t="s">
        <v>18</v>
      </c>
      <c r="F83" s="14" t="s">
        <v>997</v>
      </c>
      <c r="G83" s="15" t="s">
        <v>76</v>
      </c>
      <c r="H83" s="15" t="s">
        <v>322</v>
      </c>
      <c r="I83" s="16" t="s">
        <v>64</v>
      </c>
      <c r="J83" s="16"/>
      <c r="K83" s="14" t="str">
        <f>"185,0"</f>
        <v>185,0</v>
      </c>
      <c r="L83" s="15" t="str">
        <f>"107,0595"</f>
        <v>107,0595</v>
      </c>
      <c r="M83" s="14" t="s">
        <v>80</v>
      </c>
    </row>
    <row r="84" spans="1:13" x14ac:dyDescent="0.2">
      <c r="A84" s="14" t="s">
        <v>999</v>
      </c>
      <c r="B84" s="14" t="s">
        <v>1000</v>
      </c>
      <c r="C84" s="14" t="s">
        <v>206</v>
      </c>
      <c r="D84" s="14" t="str">
        <f>"0,5724"</f>
        <v>0,5724</v>
      </c>
      <c r="E84" s="14" t="s">
        <v>18</v>
      </c>
      <c r="F84" s="14" t="s">
        <v>906</v>
      </c>
      <c r="G84" s="15" t="s">
        <v>76</v>
      </c>
      <c r="H84" s="15" t="s">
        <v>28</v>
      </c>
      <c r="I84" s="16" t="s">
        <v>322</v>
      </c>
      <c r="J84" s="16"/>
      <c r="K84" s="14" t="str">
        <f>"180,0"</f>
        <v>180,0</v>
      </c>
      <c r="L84" s="15" t="str">
        <f>"103,0320"</f>
        <v>103,0320</v>
      </c>
      <c r="M84" s="14" t="s">
        <v>80</v>
      </c>
    </row>
    <row r="85" spans="1:13" x14ac:dyDescent="0.2">
      <c r="A85" s="14" t="s">
        <v>1001</v>
      </c>
      <c r="B85" s="14" t="s">
        <v>1002</v>
      </c>
      <c r="C85" s="14" t="s">
        <v>206</v>
      </c>
      <c r="D85" s="14" t="str">
        <f>"0,5724"</f>
        <v>0,5724</v>
      </c>
      <c r="E85" s="14" t="s">
        <v>18</v>
      </c>
      <c r="F85" s="14" t="s">
        <v>906</v>
      </c>
      <c r="G85" s="15" t="s">
        <v>76</v>
      </c>
      <c r="H85" s="15" t="s">
        <v>28</v>
      </c>
      <c r="I85" s="16" t="s">
        <v>322</v>
      </c>
      <c r="J85" s="16"/>
      <c r="K85" s="14" t="str">
        <f>"180,0"</f>
        <v>180,0</v>
      </c>
      <c r="L85" s="15" t="str">
        <f>"105,0926"</f>
        <v>105,0926</v>
      </c>
      <c r="M85" s="14" t="s">
        <v>80</v>
      </c>
    </row>
    <row r="86" spans="1:13" x14ac:dyDescent="0.2">
      <c r="A86" s="12" t="s">
        <v>1004</v>
      </c>
      <c r="B86" s="12" t="s">
        <v>1005</v>
      </c>
      <c r="C86" s="12" t="s">
        <v>1006</v>
      </c>
      <c r="D86" s="12" t="str">
        <f>"0,5706"</f>
        <v>0,5706</v>
      </c>
      <c r="E86" s="12" t="s">
        <v>18</v>
      </c>
      <c r="F86" s="12" t="s">
        <v>36</v>
      </c>
      <c r="G86" s="17" t="s">
        <v>878</v>
      </c>
      <c r="H86" s="17" t="s">
        <v>26</v>
      </c>
      <c r="I86" s="17" t="s">
        <v>76</v>
      </c>
      <c r="J86" s="13"/>
      <c r="K86" s="12" t="str">
        <f>"175,0"</f>
        <v>175,0</v>
      </c>
      <c r="L86" s="17" t="str">
        <f>"122,3224"</f>
        <v>122,3224</v>
      </c>
      <c r="M86" s="12" t="s">
        <v>80</v>
      </c>
    </row>
    <row r="88" spans="1:13" ht="15" x14ac:dyDescent="0.2">
      <c r="A88" s="35" t="s">
        <v>557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</row>
    <row r="89" spans="1:13" x14ac:dyDescent="0.2">
      <c r="A89" s="9" t="s">
        <v>1008</v>
      </c>
      <c r="B89" s="9" t="s">
        <v>1009</v>
      </c>
      <c r="C89" s="9" t="s">
        <v>1010</v>
      </c>
      <c r="D89" s="9" t="str">
        <f>"0,5609"</f>
        <v>0,5609</v>
      </c>
      <c r="E89" s="9" t="s">
        <v>35</v>
      </c>
      <c r="F89" s="9" t="s">
        <v>36</v>
      </c>
      <c r="G89" s="10" t="s">
        <v>22</v>
      </c>
      <c r="H89" s="10" t="s">
        <v>37</v>
      </c>
      <c r="I89" s="11" t="s">
        <v>76</v>
      </c>
      <c r="J89" s="11"/>
      <c r="K89" s="9" t="str">
        <f>"165,0"</f>
        <v>165,0</v>
      </c>
      <c r="L89" s="10" t="str">
        <f>"92,5485"</f>
        <v>92,5485</v>
      </c>
      <c r="M89" s="9" t="s">
        <v>957</v>
      </c>
    </row>
    <row r="90" spans="1:13" x14ac:dyDescent="0.2">
      <c r="A90" s="12" t="s">
        <v>1012</v>
      </c>
      <c r="B90" s="12" t="s">
        <v>1013</v>
      </c>
      <c r="C90" s="12" t="s">
        <v>1014</v>
      </c>
      <c r="D90" s="12" t="str">
        <f>"0,5593"</f>
        <v>0,5593</v>
      </c>
      <c r="E90" s="12" t="s">
        <v>18</v>
      </c>
      <c r="F90" s="12" t="s">
        <v>36</v>
      </c>
      <c r="G90" s="17" t="s">
        <v>28</v>
      </c>
      <c r="H90" s="17" t="s">
        <v>42</v>
      </c>
      <c r="I90" s="17" t="s">
        <v>64</v>
      </c>
      <c r="J90" s="17" t="s">
        <v>51</v>
      </c>
      <c r="K90" s="12" t="str">
        <f>"195,0"</f>
        <v>195,0</v>
      </c>
      <c r="L90" s="17" t="str">
        <f>"129,1312"</f>
        <v>129,1312</v>
      </c>
      <c r="M90" s="12" t="s">
        <v>80</v>
      </c>
    </row>
    <row r="92" spans="1:13" ht="15" x14ac:dyDescent="0.2">
      <c r="A92" s="35" t="s">
        <v>1015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spans="1:13" x14ac:dyDescent="0.2">
      <c r="A93" s="6" t="s">
        <v>1584</v>
      </c>
      <c r="B93" s="6" t="s">
        <v>1016</v>
      </c>
      <c r="C93" s="6" t="s">
        <v>1017</v>
      </c>
      <c r="D93" s="6" t="str">
        <f>"0,5510"</f>
        <v>0,5510</v>
      </c>
      <c r="E93" s="6" t="s">
        <v>18</v>
      </c>
      <c r="F93" s="6" t="s">
        <v>36</v>
      </c>
      <c r="G93" s="8" t="s">
        <v>51</v>
      </c>
      <c r="H93" s="7" t="s">
        <v>53</v>
      </c>
      <c r="I93" s="8" t="s">
        <v>43</v>
      </c>
      <c r="J93" s="8"/>
      <c r="K93" s="50" t="str">
        <f>"210,0"</f>
        <v>210,0</v>
      </c>
      <c r="L93" s="8" t="str">
        <f>"115,7100"</f>
        <v>115,7100</v>
      </c>
      <c r="M93" s="6" t="s">
        <v>144</v>
      </c>
    </row>
    <row r="95" spans="1:13" ht="15" x14ac:dyDescent="0.2">
      <c r="E95" s="18" t="s">
        <v>102</v>
      </c>
    </row>
    <row r="96" spans="1:13" ht="15" x14ac:dyDescent="0.2">
      <c r="E96" s="18" t="s">
        <v>103</v>
      </c>
    </row>
    <row r="97" spans="1:5" ht="15" x14ac:dyDescent="0.2">
      <c r="E97" s="18" t="s">
        <v>104</v>
      </c>
    </row>
    <row r="98" spans="1:5" ht="15" x14ac:dyDescent="0.2">
      <c r="E98" s="18" t="s">
        <v>105</v>
      </c>
    </row>
    <row r="99" spans="1:5" ht="15" x14ac:dyDescent="0.2">
      <c r="E99" s="18" t="s">
        <v>105</v>
      </c>
    </row>
    <row r="100" spans="1:5" ht="15" x14ac:dyDescent="0.2">
      <c r="E100" s="18" t="s">
        <v>106</v>
      </c>
    </row>
    <row r="101" spans="1:5" ht="15" x14ac:dyDescent="0.2">
      <c r="E101" s="18"/>
    </row>
    <row r="103" spans="1:5" ht="18" x14ac:dyDescent="0.25">
      <c r="A103" s="19" t="s">
        <v>107</v>
      </c>
      <c r="B103" s="19"/>
    </row>
    <row r="104" spans="1:5" ht="15" x14ac:dyDescent="0.2">
      <c r="A104" s="20" t="s">
        <v>108</v>
      </c>
      <c r="B104" s="20"/>
    </row>
    <row r="105" spans="1:5" ht="14.25" x14ac:dyDescent="0.2">
      <c r="A105" s="22"/>
      <c r="B105" s="23" t="s">
        <v>109</v>
      </c>
    </row>
    <row r="106" spans="1:5" ht="15" x14ac:dyDescent="0.2">
      <c r="A106" s="24" t="s">
        <v>110</v>
      </c>
      <c r="B106" s="24" t="s">
        <v>111</v>
      </c>
      <c r="C106" s="24" t="s">
        <v>112</v>
      </c>
      <c r="D106" s="24" t="s">
        <v>113</v>
      </c>
      <c r="E106" s="24" t="s">
        <v>114</v>
      </c>
    </row>
    <row r="107" spans="1:5" x14ac:dyDescent="0.2">
      <c r="A107" s="21" t="s">
        <v>266</v>
      </c>
      <c r="B107" s="4" t="s">
        <v>109</v>
      </c>
      <c r="C107" s="4" t="s">
        <v>391</v>
      </c>
      <c r="D107" s="4" t="s">
        <v>274</v>
      </c>
      <c r="E107" s="25" t="s">
        <v>1018</v>
      </c>
    </row>
    <row r="108" spans="1:5" x14ac:dyDescent="0.2">
      <c r="A108" s="21" t="s">
        <v>811</v>
      </c>
      <c r="B108" s="4" t="s">
        <v>109</v>
      </c>
      <c r="C108" s="4" t="s">
        <v>396</v>
      </c>
      <c r="D108" s="4" t="s">
        <v>274</v>
      </c>
      <c r="E108" s="25" t="s">
        <v>1019</v>
      </c>
    </row>
    <row r="109" spans="1:5" x14ac:dyDescent="0.2">
      <c r="A109" s="21" t="s">
        <v>797</v>
      </c>
      <c r="B109" s="4" t="s">
        <v>109</v>
      </c>
      <c r="C109" s="4" t="s">
        <v>567</v>
      </c>
      <c r="D109" s="4" t="s">
        <v>282</v>
      </c>
      <c r="E109" s="25" t="s">
        <v>1020</v>
      </c>
    </row>
    <row r="110" spans="1:5" x14ac:dyDescent="0.2">
      <c r="A110" s="21" t="s">
        <v>802</v>
      </c>
      <c r="B110" s="4" t="s">
        <v>109</v>
      </c>
      <c r="C110" s="4" t="s">
        <v>567</v>
      </c>
      <c r="D110" s="4" t="s">
        <v>282</v>
      </c>
      <c r="E110" s="25" t="s">
        <v>1021</v>
      </c>
    </row>
    <row r="111" spans="1:5" x14ac:dyDescent="0.2">
      <c r="A111" s="21" t="s">
        <v>807</v>
      </c>
      <c r="B111" s="4" t="s">
        <v>109</v>
      </c>
      <c r="C111" s="4" t="s">
        <v>391</v>
      </c>
      <c r="D111" s="4" t="s">
        <v>435</v>
      </c>
      <c r="E111" s="25" t="s">
        <v>1022</v>
      </c>
    </row>
    <row r="112" spans="1:5" x14ac:dyDescent="0.2">
      <c r="A112" s="21" t="s">
        <v>443</v>
      </c>
      <c r="B112" s="4" t="s">
        <v>109</v>
      </c>
      <c r="C112" s="4" t="s">
        <v>567</v>
      </c>
      <c r="D112" s="4" t="s">
        <v>449</v>
      </c>
      <c r="E112" s="25" t="s">
        <v>1023</v>
      </c>
    </row>
    <row r="114" spans="1:5" ht="14.25" x14ac:dyDescent="0.2">
      <c r="A114" s="22"/>
      <c r="B114" s="23" t="s">
        <v>227</v>
      </c>
    </row>
    <row r="115" spans="1:5" ht="15" x14ac:dyDescent="0.2">
      <c r="A115" s="24" t="s">
        <v>110</v>
      </c>
      <c r="B115" s="24" t="s">
        <v>111</v>
      </c>
      <c r="C115" s="24" t="s">
        <v>112</v>
      </c>
      <c r="D115" s="24" t="s">
        <v>113</v>
      </c>
      <c r="E115" s="24" t="s">
        <v>114</v>
      </c>
    </row>
    <row r="116" spans="1:5" x14ac:dyDescent="0.2">
      <c r="A116" s="21" t="s">
        <v>815</v>
      </c>
      <c r="B116" s="4" t="s">
        <v>239</v>
      </c>
      <c r="C116" s="4" t="s">
        <v>396</v>
      </c>
      <c r="D116" s="4" t="s">
        <v>282</v>
      </c>
      <c r="E116" s="25" t="s">
        <v>1024</v>
      </c>
    </row>
    <row r="117" spans="1:5" x14ac:dyDescent="0.2">
      <c r="A117" s="21" t="s">
        <v>490</v>
      </c>
      <c r="B117" s="4" t="s">
        <v>228</v>
      </c>
      <c r="C117" s="4" t="s">
        <v>134</v>
      </c>
      <c r="D117" s="4" t="s">
        <v>65</v>
      </c>
      <c r="E117" s="25" t="s">
        <v>1025</v>
      </c>
    </row>
    <row r="118" spans="1:5" x14ac:dyDescent="0.2">
      <c r="A118" s="21" t="s">
        <v>457</v>
      </c>
      <c r="B118" s="4" t="s">
        <v>228</v>
      </c>
      <c r="C118" s="4" t="s">
        <v>391</v>
      </c>
      <c r="D118" s="4" t="s">
        <v>273</v>
      </c>
      <c r="E118" s="25" t="s">
        <v>1026</v>
      </c>
    </row>
    <row r="119" spans="1:5" x14ac:dyDescent="0.2">
      <c r="A119" s="21" t="s">
        <v>820</v>
      </c>
      <c r="B119" s="4" t="s">
        <v>228</v>
      </c>
      <c r="C119" s="4" t="s">
        <v>115</v>
      </c>
      <c r="D119" s="4" t="s">
        <v>824</v>
      </c>
      <c r="E119" s="25" t="s">
        <v>1027</v>
      </c>
    </row>
    <row r="122" spans="1:5" ht="15" x14ac:dyDescent="0.2">
      <c r="A122" s="20" t="s">
        <v>118</v>
      </c>
      <c r="B122" s="20"/>
    </row>
    <row r="123" spans="1:5" ht="14.25" x14ac:dyDescent="0.2">
      <c r="A123" s="22"/>
      <c r="B123" s="23" t="s">
        <v>119</v>
      </c>
    </row>
    <row r="124" spans="1:5" ht="15" x14ac:dyDescent="0.2">
      <c r="A124" s="24" t="s">
        <v>110</v>
      </c>
      <c r="B124" s="24" t="s">
        <v>111</v>
      </c>
      <c r="C124" s="24" t="s">
        <v>112</v>
      </c>
      <c r="D124" s="24" t="s">
        <v>113</v>
      </c>
      <c r="E124" s="24" t="s">
        <v>114</v>
      </c>
    </row>
    <row r="125" spans="1:5" x14ac:dyDescent="0.2">
      <c r="A125" s="21" t="s">
        <v>825</v>
      </c>
      <c r="B125" s="4" t="s">
        <v>120</v>
      </c>
      <c r="C125" s="4" t="s">
        <v>391</v>
      </c>
      <c r="D125" s="4" t="s">
        <v>24</v>
      </c>
      <c r="E125" s="25" t="s">
        <v>1028</v>
      </c>
    </row>
    <row r="126" spans="1:5" x14ac:dyDescent="0.2">
      <c r="A126" s="21" t="s">
        <v>833</v>
      </c>
      <c r="B126" s="4" t="s">
        <v>120</v>
      </c>
      <c r="C126" s="4" t="s">
        <v>212</v>
      </c>
      <c r="D126" s="4" t="s">
        <v>66</v>
      </c>
      <c r="E126" s="25" t="s">
        <v>1029</v>
      </c>
    </row>
    <row r="127" spans="1:5" x14ac:dyDescent="0.2">
      <c r="A127" s="21" t="s">
        <v>907</v>
      </c>
      <c r="B127" s="4" t="s">
        <v>120</v>
      </c>
      <c r="C127" s="4" t="s">
        <v>131</v>
      </c>
      <c r="D127" s="4" t="s">
        <v>39</v>
      </c>
      <c r="E127" s="25" t="s">
        <v>1030</v>
      </c>
    </row>
    <row r="128" spans="1:5" x14ac:dyDescent="0.2">
      <c r="A128" s="21" t="s">
        <v>495</v>
      </c>
      <c r="B128" s="4" t="s">
        <v>120</v>
      </c>
      <c r="C128" s="4" t="s">
        <v>115</v>
      </c>
      <c r="D128" s="4" t="s">
        <v>65</v>
      </c>
      <c r="E128" s="25" t="s">
        <v>1031</v>
      </c>
    </row>
    <row r="130" spans="1:5" ht="14.25" x14ac:dyDescent="0.2">
      <c r="A130" s="22"/>
      <c r="B130" s="23" t="s">
        <v>208</v>
      </c>
    </row>
    <row r="131" spans="1:5" ht="15" x14ac:dyDescent="0.2">
      <c r="A131" s="24" t="s">
        <v>110</v>
      </c>
      <c r="B131" s="24" t="s">
        <v>111</v>
      </c>
      <c r="C131" s="24" t="s">
        <v>112</v>
      </c>
      <c r="D131" s="24" t="s">
        <v>113</v>
      </c>
      <c r="E131" s="24" t="s">
        <v>114</v>
      </c>
    </row>
    <row r="132" spans="1:5" x14ac:dyDescent="0.2">
      <c r="A132" s="21" t="s">
        <v>865</v>
      </c>
      <c r="B132" s="4" t="s">
        <v>209</v>
      </c>
      <c r="C132" s="4" t="s">
        <v>134</v>
      </c>
      <c r="D132" s="4" t="s">
        <v>323</v>
      </c>
      <c r="E132" s="25" t="s">
        <v>1032</v>
      </c>
    </row>
    <row r="133" spans="1:5" x14ac:dyDescent="0.2">
      <c r="A133" s="21" t="s">
        <v>869</v>
      </c>
      <c r="B133" s="4" t="s">
        <v>209</v>
      </c>
      <c r="C133" s="4" t="s">
        <v>134</v>
      </c>
      <c r="D133" s="4" t="s">
        <v>21</v>
      </c>
      <c r="E133" s="25" t="s">
        <v>1033</v>
      </c>
    </row>
    <row r="134" spans="1:5" x14ac:dyDescent="0.2">
      <c r="A134" s="21" t="s">
        <v>989</v>
      </c>
      <c r="B134" s="4" t="s">
        <v>209</v>
      </c>
      <c r="C134" s="4" t="s">
        <v>124</v>
      </c>
      <c r="D134" s="4" t="s">
        <v>22</v>
      </c>
      <c r="E134" s="25" t="s">
        <v>1034</v>
      </c>
    </row>
    <row r="135" spans="1:5" x14ac:dyDescent="0.2">
      <c r="A135" s="21" t="s">
        <v>929</v>
      </c>
      <c r="B135" s="4" t="s">
        <v>209</v>
      </c>
      <c r="C135" s="4" t="s">
        <v>121</v>
      </c>
      <c r="D135" s="4" t="s">
        <v>555</v>
      </c>
      <c r="E135" s="25" t="s">
        <v>1035</v>
      </c>
    </row>
    <row r="137" spans="1:5" ht="14.25" x14ac:dyDescent="0.2">
      <c r="A137" s="22"/>
      <c r="B137" s="23" t="s">
        <v>109</v>
      </c>
    </row>
    <row r="138" spans="1:5" ht="15" x14ac:dyDescent="0.2">
      <c r="A138" s="24" t="s">
        <v>110</v>
      </c>
      <c r="B138" s="24" t="s">
        <v>111</v>
      </c>
      <c r="C138" s="24" t="s">
        <v>112</v>
      </c>
      <c r="D138" s="24" t="s">
        <v>113</v>
      </c>
      <c r="E138" s="24" t="s">
        <v>114</v>
      </c>
    </row>
    <row r="139" spans="1:5" x14ac:dyDescent="0.2">
      <c r="A139" s="21" t="s">
        <v>934</v>
      </c>
      <c r="B139" s="4" t="s">
        <v>109</v>
      </c>
      <c r="C139" s="4" t="s">
        <v>121</v>
      </c>
      <c r="D139" s="4" t="s">
        <v>322</v>
      </c>
      <c r="E139" s="25" t="s">
        <v>1037</v>
      </c>
    </row>
    <row r="140" spans="1:5" x14ac:dyDescent="0.2">
      <c r="A140" s="21" t="s">
        <v>874</v>
      </c>
      <c r="B140" s="4" t="s">
        <v>109</v>
      </c>
      <c r="C140" s="4" t="s">
        <v>134</v>
      </c>
      <c r="D140" s="4" t="s">
        <v>878</v>
      </c>
      <c r="E140" s="25" t="s">
        <v>1038</v>
      </c>
    </row>
    <row r="141" spans="1:5" x14ac:dyDescent="0.2">
      <c r="A141" s="21" t="s">
        <v>911</v>
      </c>
      <c r="B141" s="4" t="s">
        <v>109</v>
      </c>
      <c r="C141" s="4" t="s">
        <v>131</v>
      </c>
      <c r="D141" s="4" t="s">
        <v>37</v>
      </c>
      <c r="E141" s="25" t="s">
        <v>1039</v>
      </c>
    </row>
    <row r="142" spans="1:5" x14ac:dyDescent="0.2">
      <c r="A142" s="21" t="s">
        <v>993</v>
      </c>
      <c r="B142" s="4" t="s">
        <v>109</v>
      </c>
      <c r="C142" s="4" t="s">
        <v>124</v>
      </c>
      <c r="D142" s="4" t="s">
        <v>322</v>
      </c>
      <c r="E142" s="25" t="s">
        <v>1040</v>
      </c>
    </row>
    <row r="143" spans="1:5" x14ac:dyDescent="0.2">
      <c r="A143" s="21" t="s">
        <v>965</v>
      </c>
      <c r="B143" s="4" t="s">
        <v>109</v>
      </c>
      <c r="C143" s="4" t="s">
        <v>262</v>
      </c>
      <c r="D143" s="4" t="s">
        <v>76</v>
      </c>
      <c r="E143" s="25" t="s">
        <v>1041</v>
      </c>
    </row>
    <row r="144" spans="1:5" x14ac:dyDescent="0.2">
      <c r="A144" s="21" t="s">
        <v>842</v>
      </c>
      <c r="B144" s="4" t="s">
        <v>109</v>
      </c>
      <c r="C144" s="4" t="s">
        <v>115</v>
      </c>
      <c r="D144" s="4" t="s">
        <v>275</v>
      </c>
      <c r="E144" s="25" t="s">
        <v>1042</v>
      </c>
    </row>
    <row r="145" spans="1:5" x14ac:dyDescent="0.2">
      <c r="A145" s="21" t="s">
        <v>879</v>
      </c>
      <c r="B145" s="4" t="s">
        <v>109</v>
      </c>
      <c r="C145" s="4" t="s">
        <v>134</v>
      </c>
      <c r="D145" s="4" t="s">
        <v>22</v>
      </c>
      <c r="E145" s="25" t="s">
        <v>1043</v>
      </c>
    </row>
    <row r="146" spans="1:5" x14ac:dyDescent="0.2">
      <c r="A146" s="21" t="s">
        <v>938</v>
      </c>
      <c r="B146" s="4" t="s">
        <v>109</v>
      </c>
      <c r="C146" s="4" t="s">
        <v>121</v>
      </c>
      <c r="D146" s="4" t="s">
        <v>26</v>
      </c>
      <c r="E146" s="25" t="s">
        <v>1044</v>
      </c>
    </row>
    <row r="147" spans="1:5" x14ac:dyDescent="0.2">
      <c r="A147" s="21" t="s">
        <v>998</v>
      </c>
      <c r="B147" s="4" t="s">
        <v>109</v>
      </c>
      <c r="C147" s="4" t="s">
        <v>124</v>
      </c>
      <c r="D147" s="4" t="s">
        <v>28</v>
      </c>
      <c r="E147" s="25" t="s">
        <v>1045</v>
      </c>
    </row>
    <row r="148" spans="1:5" x14ac:dyDescent="0.2">
      <c r="A148" s="21" t="s">
        <v>942</v>
      </c>
      <c r="B148" s="4" t="s">
        <v>109</v>
      </c>
      <c r="C148" s="4" t="s">
        <v>121</v>
      </c>
      <c r="D148" s="4" t="s">
        <v>37</v>
      </c>
      <c r="E148" s="25" t="s">
        <v>1046</v>
      </c>
    </row>
    <row r="149" spans="1:5" x14ac:dyDescent="0.2">
      <c r="A149" s="21" t="s">
        <v>970</v>
      </c>
      <c r="B149" s="4" t="s">
        <v>109</v>
      </c>
      <c r="C149" s="4" t="s">
        <v>262</v>
      </c>
      <c r="D149" s="4" t="s">
        <v>26</v>
      </c>
      <c r="E149" s="25" t="s">
        <v>1047</v>
      </c>
    </row>
    <row r="150" spans="1:5" x14ac:dyDescent="0.2">
      <c r="A150" s="21" t="s">
        <v>846</v>
      </c>
      <c r="B150" s="4" t="s">
        <v>109</v>
      </c>
      <c r="C150" s="4" t="s">
        <v>115</v>
      </c>
      <c r="D150" s="4" t="s">
        <v>556</v>
      </c>
      <c r="E150" s="25" t="s">
        <v>1048</v>
      </c>
    </row>
    <row r="151" spans="1:5" x14ac:dyDescent="0.2">
      <c r="A151" s="21" t="s">
        <v>1007</v>
      </c>
      <c r="B151" s="4" t="s">
        <v>109</v>
      </c>
      <c r="C151" s="4" t="s">
        <v>598</v>
      </c>
      <c r="D151" s="4" t="s">
        <v>37</v>
      </c>
      <c r="E151" s="25" t="s">
        <v>1049</v>
      </c>
    </row>
    <row r="152" spans="1:5" x14ac:dyDescent="0.2">
      <c r="A152" s="21" t="s">
        <v>916</v>
      </c>
      <c r="B152" s="4" t="s">
        <v>109</v>
      </c>
      <c r="C152" s="4" t="s">
        <v>131</v>
      </c>
      <c r="D152" s="4" t="s">
        <v>167</v>
      </c>
      <c r="E152" s="25" t="s">
        <v>1050</v>
      </c>
    </row>
    <row r="153" spans="1:5" x14ac:dyDescent="0.2">
      <c r="A153" s="21" t="s">
        <v>920</v>
      </c>
      <c r="B153" s="4" t="s">
        <v>109</v>
      </c>
      <c r="C153" s="4" t="s">
        <v>131</v>
      </c>
      <c r="D153" s="4" t="s">
        <v>167</v>
      </c>
      <c r="E153" s="25" t="s">
        <v>1051</v>
      </c>
    </row>
    <row r="154" spans="1:5" x14ac:dyDescent="0.2">
      <c r="A154" s="21" t="s">
        <v>883</v>
      </c>
      <c r="B154" s="4" t="s">
        <v>109</v>
      </c>
      <c r="C154" s="4" t="s">
        <v>134</v>
      </c>
      <c r="D154" s="4" t="s">
        <v>461</v>
      </c>
      <c r="E154" s="25" t="s">
        <v>1052</v>
      </c>
    </row>
    <row r="155" spans="1:5" x14ac:dyDescent="0.2">
      <c r="A155" s="21" t="s">
        <v>851</v>
      </c>
      <c r="B155" s="4" t="s">
        <v>109</v>
      </c>
      <c r="C155" s="4" t="s">
        <v>115</v>
      </c>
      <c r="D155" s="4" t="s">
        <v>514</v>
      </c>
      <c r="E155" s="25" t="s">
        <v>1053</v>
      </c>
    </row>
    <row r="156" spans="1:5" x14ac:dyDescent="0.2">
      <c r="A156" s="21" t="s">
        <v>509</v>
      </c>
      <c r="B156" s="4" t="s">
        <v>109</v>
      </c>
      <c r="C156" s="4" t="s">
        <v>134</v>
      </c>
      <c r="D156" s="4" t="s">
        <v>461</v>
      </c>
      <c r="E156" s="25" t="s">
        <v>1054</v>
      </c>
    </row>
    <row r="157" spans="1:5" x14ac:dyDescent="0.2">
      <c r="A157" s="21" t="s">
        <v>855</v>
      </c>
      <c r="B157" s="4" t="s">
        <v>109</v>
      </c>
      <c r="C157" s="4" t="s">
        <v>115</v>
      </c>
      <c r="D157" s="4" t="s">
        <v>270</v>
      </c>
      <c r="E157" s="25" t="s">
        <v>1055</v>
      </c>
    </row>
    <row r="158" spans="1:5" x14ac:dyDescent="0.2">
      <c r="A158" s="21" t="s">
        <v>829</v>
      </c>
      <c r="B158" s="4" t="s">
        <v>109</v>
      </c>
      <c r="C158" s="4" t="s">
        <v>391</v>
      </c>
      <c r="D158" s="4" t="s">
        <v>24</v>
      </c>
      <c r="E158" s="25" t="s">
        <v>1028</v>
      </c>
    </row>
    <row r="159" spans="1:5" x14ac:dyDescent="0.2">
      <c r="A159" s="21" t="s">
        <v>858</v>
      </c>
      <c r="B159" s="4" t="s">
        <v>109</v>
      </c>
      <c r="C159" s="4" t="s">
        <v>115</v>
      </c>
      <c r="D159" s="4" t="s">
        <v>39</v>
      </c>
      <c r="E159" s="25" t="s">
        <v>1056</v>
      </c>
    </row>
    <row r="161" spans="1:5" ht="14.25" x14ac:dyDescent="0.2">
      <c r="A161" s="22"/>
      <c r="B161" s="23" t="s">
        <v>227</v>
      </c>
    </row>
    <row r="162" spans="1:5" ht="15" x14ac:dyDescent="0.2">
      <c r="A162" s="24" t="s">
        <v>110</v>
      </c>
      <c r="B162" s="24" t="s">
        <v>111</v>
      </c>
      <c r="C162" s="24" t="s">
        <v>112</v>
      </c>
      <c r="D162" s="24" t="s">
        <v>113</v>
      </c>
      <c r="E162" s="24" t="s">
        <v>114</v>
      </c>
    </row>
    <row r="163" spans="1:5" x14ac:dyDescent="0.2">
      <c r="A163" s="21" t="s">
        <v>1011</v>
      </c>
      <c r="B163" s="4" t="s">
        <v>403</v>
      </c>
      <c r="C163" s="4" t="s">
        <v>598</v>
      </c>
      <c r="D163" s="4" t="s">
        <v>64</v>
      </c>
      <c r="E163" s="25" t="s">
        <v>1057</v>
      </c>
    </row>
    <row r="164" spans="1:5" x14ac:dyDescent="0.2">
      <c r="A164" s="21" t="s">
        <v>1003</v>
      </c>
      <c r="B164" s="4" t="s">
        <v>239</v>
      </c>
      <c r="C164" s="4" t="s">
        <v>124</v>
      </c>
      <c r="D164" s="4" t="s">
        <v>76</v>
      </c>
      <c r="E164" s="25" t="s">
        <v>1058</v>
      </c>
    </row>
    <row r="165" spans="1:5" x14ac:dyDescent="0.2">
      <c r="A165" s="21" t="s">
        <v>934</v>
      </c>
      <c r="B165" s="4" t="s">
        <v>228</v>
      </c>
      <c r="C165" s="4" t="s">
        <v>121</v>
      </c>
      <c r="D165" s="4" t="s">
        <v>322</v>
      </c>
      <c r="E165" s="25" t="s">
        <v>1037</v>
      </c>
    </row>
    <row r="166" spans="1:5" x14ac:dyDescent="0.2">
      <c r="A166" s="21" t="s">
        <v>985</v>
      </c>
      <c r="B166" s="4" t="s">
        <v>239</v>
      </c>
      <c r="C166" s="4" t="s">
        <v>262</v>
      </c>
      <c r="D166" s="4" t="s">
        <v>21</v>
      </c>
      <c r="E166" s="25" t="s">
        <v>1059</v>
      </c>
    </row>
    <row r="167" spans="1:5" x14ac:dyDescent="0.2">
      <c r="A167" s="21" t="s">
        <v>948</v>
      </c>
      <c r="B167" s="4" t="s">
        <v>228</v>
      </c>
      <c r="C167" s="4" t="s">
        <v>121</v>
      </c>
      <c r="D167" s="4" t="s">
        <v>26</v>
      </c>
      <c r="E167" s="25" t="s">
        <v>1060</v>
      </c>
    </row>
    <row r="168" spans="1:5" x14ac:dyDescent="0.2">
      <c r="A168" s="21" t="s">
        <v>981</v>
      </c>
      <c r="B168" s="4" t="s">
        <v>399</v>
      </c>
      <c r="C168" s="4" t="s">
        <v>262</v>
      </c>
      <c r="D168" s="4" t="s">
        <v>37</v>
      </c>
      <c r="E168" s="25" t="s">
        <v>1061</v>
      </c>
    </row>
    <row r="169" spans="1:5" x14ac:dyDescent="0.2">
      <c r="A169" s="21" t="s">
        <v>903</v>
      </c>
      <c r="B169" s="4" t="s">
        <v>239</v>
      </c>
      <c r="C169" s="4" t="s">
        <v>134</v>
      </c>
      <c r="D169" s="4" t="s">
        <v>271</v>
      </c>
      <c r="E169" s="25" t="s">
        <v>1062</v>
      </c>
    </row>
    <row r="170" spans="1:5" x14ac:dyDescent="0.2">
      <c r="A170" s="21" t="s">
        <v>998</v>
      </c>
      <c r="B170" s="4" t="s">
        <v>228</v>
      </c>
      <c r="C170" s="4" t="s">
        <v>124</v>
      </c>
      <c r="D170" s="4" t="s">
        <v>28</v>
      </c>
      <c r="E170" s="25" t="s">
        <v>1063</v>
      </c>
    </row>
    <row r="171" spans="1:5" x14ac:dyDescent="0.2">
      <c r="A171" s="21" t="s">
        <v>861</v>
      </c>
      <c r="B171" s="4" t="s">
        <v>403</v>
      </c>
      <c r="C171" s="4" t="s">
        <v>115</v>
      </c>
      <c r="D171" s="4" t="s">
        <v>271</v>
      </c>
      <c r="E171" s="25" t="s">
        <v>1064</v>
      </c>
    </row>
    <row r="172" spans="1:5" x14ac:dyDescent="0.2">
      <c r="A172" s="21" t="s">
        <v>961</v>
      </c>
      <c r="B172" s="4" t="s">
        <v>399</v>
      </c>
      <c r="C172" s="4" t="s">
        <v>121</v>
      </c>
      <c r="D172" s="4" t="s">
        <v>323</v>
      </c>
      <c r="E172" s="25" t="s">
        <v>1065</v>
      </c>
    </row>
    <row r="173" spans="1:5" x14ac:dyDescent="0.2">
      <c r="A173" s="21" t="s">
        <v>892</v>
      </c>
      <c r="B173" s="4" t="s">
        <v>228</v>
      </c>
      <c r="C173" s="4" t="s">
        <v>134</v>
      </c>
      <c r="D173" s="4" t="s">
        <v>20</v>
      </c>
      <c r="E173" s="25" t="s">
        <v>1066</v>
      </c>
    </row>
    <row r="174" spans="1:5" x14ac:dyDescent="0.2">
      <c r="A174" s="21" t="s">
        <v>953</v>
      </c>
      <c r="B174" s="4" t="s">
        <v>228</v>
      </c>
      <c r="C174" s="4" t="s">
        <v>121</v>
      </c>
      <c r="D174" s="4" t="s">
        <v>21</v>
      </c>
      <c r="E174" s="25" t="s">
        <v>1067</v>
      </c>
    </row>
    <row r="175" spans="1:5" x14ac:dyDescent="0.2">
      <c r="A175" s="21" t="s">
        <v>896</v>
      </c>
      <c r="B175" s="4" t="s">
        <v>228</v>
      </c>
      <c r="C175" s="4" t="s">
        <v>134</v>
      </c>
      <c r="D175" s="4" t="s">
        <v>555</v>
      </c>
      <c r="E175" s="25" t="s">
        <v>1068</v>
      </c>
    </row>
    <row r="176" spans="1:5" x14ac:dyDescent="0.2">
      <c r="A176" s="21" t="s">
        <v>837</v>
      </c>
      <c r="B176" s="4" t="s">
        <v>403</v>
      </c>
      <c r="C176" s="4" t="s">
        <v>212</v>
      </c>
      <c r="D176" s="4" t="s">
        <v>468</v>
      </c>
      <c r="E176" s="25" t="s">
        <v>1069</v>
      </c>
    </row>
  </sheetData>
  <mergeCells count="26">
    <mergeCell ref="A92:L92"/>
    <mergeCell ref="A19:L19"/>
    <mergeCell ref="A22:L22"/>
    <mergeCell ref="A25:L25"/>
    <mergeCell ref="A29:L29"/>
    <mergeCell ref="A33:L33"/>
    <mergeCell ref="A42:L42"/>
    <mergeCell ref="A55:L55"/>
    <mergeCell ref="A62:L62"/>
    <mergeCell ref="A73:L73"/>
    <mergeCell ref="A81:L81"/>
    <mergeCell ref="A88:L88"/>
    <mergeCell ref="A15:L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0:L10"/>
  </mergeCells>
  <pageMargins left="0.7" right="0.7" top="0.75" bottom="0.75" header="0.3" footer="0.3"/>
  <pageSetup paperSize="28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8.42578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140625" style="4" bestFit="1" customWidth="1"/>
    <col min="7" max="9" width="5.5703125" style="3" bestFit="1" customWidth="1"/>
    <col min="10" max="10" width="4.85546875" style="3" bestFit="1" customWidth="1"/>
    <col min="11" max="11" width="12.28515625" style="4" customWidth="1"/>
    <col min="12" max="12" width="8.5703125" style="3" bestFit="1" customWidth="1"/>
    <col min="13" max="13" width="10.7109375" style="4" customWidth="1"/>
    <col min="14" max="16384" width="9.140625" style="3"/>
  </cols>
  <sheetData>
    <row r="1" spans="1:13" s="2" customFormat="1" ht="29.1" customHeight="1" x14ac:dyDescent="0.2">
      <c r="A1" s="39" t="s">
        <v>1563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12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30.75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253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1294</v>
      </c>
      <c r="B6" s="6" t="s">
        <v>1295</v>
      </c>
      <c r="C6" s="6" t="s">
        <v>1296</v>
      </c>
      <c r="D6" s="6" t="str">
        <f>"0,5941"</f>
        <v>0,5941</v>
      </c>
      <c r="E6" s="6" t="s">
        <v>18</v>
      </c>
      <c r="F6" s="6" t="s">
        <v>1081</v>
      </c>
      <c r="G6" s="7" t="s">
        <v>52</v>
      </c>
      <c r="H6" s="7" t="s">
        <v>143</v>
      </c>
      <c r="I6" s="8" t="s">
        <v>85</v>
      </c>
      <c r="J6" s="8"/>
      <c r="K6" s="6" t="str">
        <f>"250,0"</f>
        <v>250,0</v>
      </c>
      <c r="L6" s="7" t="str">
        <f>"148,5250"</f>
        <v>148,5250</v>
      </c>
      <c r="M6" s="6" t="s">
        <v>80</v>
      </c>
    </row>
    <row r="8" spans="1:13" ht="15" x14ac:dyDescent="0.2">
      <c r="E8" s="18" t="s">
        <v>102</v>
      </c>
    </row>
    <row r="9" spans="1:13" ht="15" x14ac:dyDescent="0.2">
      <c r="E9" s="18" t="s">
        <v>103</v>
      </c>
    </row>
    <row r="10" spans="1:13" ht="15" x14ac:dyDescent="0.2">
      <c r="E10" s="18" t="s">
        <v>104</v>
      </c>
    </row>
    <row r="11" spans="1:13" ht="15" x14ac:dyDescent="0.2">
      <c r="E11" s="18" t="s">
        <v>105</v>
      </c>
    </row>
    <row r="12" spans="1:13" ht="15" x14ac:dyDescent="0.2">
      <c r="E12" s="18" t="s">
        <v>105</v>
      </c>
    </row>
    <row r="13" spans="1:13" ht="15" x14ac:dyDescent="0.2">
      <c r="E13" s="18" t="s">
        <v>106</v>
      </c>
    </row>
    <row r="14" spans="1:13" ht="15" x14ac:dyDescent="0.2">
      <c r="E14" s="18"/>
    </row>
    <row r="16" spans="1:13" ht="18" x14ac:dyDescent="0.25">
      <c r="A16" s="19" t="s">
        <v>107</v>
      </c>
      <c r="B16" s="19"/>
    </row>
    <row r="17" spans="1:5" ht="15" x14ac:dyDescent="0.2">
      <c r="A17" s="20" t="s">
        <v>118</v>
      </c>
      <c r="B17" s="20"/>
    </row>
    <row r="18" spans="1:5" ht="14.25" x14ac:dyDescent="0.2">
      <c r="A18" s="22"/>
      <c r="B18" s="23" t="s">
        <v>208</v>
      </c>
    </row>
    <row r="19" spans="1:5" ht="15" x14ac:dyDescent="0.2">
      <c r="A19" s="24" t="s">
        <v>110</v>
      </c>
      <c r="B19" s="24" t="s">
        <v>111</v>
      </c>
      <c r="C19" s="24" t="s">
        <v>112</v>
      </c>
      <c r="D19" s="24" t="s">
        <v>113</v>
      </c>
      <c r="E19" s="24" t="s">
        <v>114</v>
      </c>
    </row>
    <row r="20" spans="1:5" x14ac:dyDescent="0.2">
      <c r="A20" s="21" t="s">
        <v>1293</v>
      </c>
      <c r="B20" s="4" t="s">
        <v>209</v>
      </c>
      <c r="C20" s="4" t="s">
        <v>262</v>
      </c>
      <c r="D20" s="4" t="s">
        <v>143</v>
      </c>
      <c r="E20" s="25" t="s">
        <v>1297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42578125" style="4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1" width="11.7109375" style="4" customWidth="1"/>
    <col min="12" max="12" width="8.5703125" style="3" bestFit="1" customWidth="1"/>
    <col min="13" max="13" width="24.5703125" style="4" bestFit="1" customWidth="1"/>
    <col min="14" max="16384" width="9.140625" style="3"/>
  </cols>
  <sheetData>
    <row r="1" spans="1:13" s="2" customFormat="1" ht="29.1" customHeight="1" x14ac:dyDescent="0.2">
      <c r="A1" s="39" t="s">
        <v>1564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12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437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1144</v>
      </c>
      <c r="B6" s="6" t="s">
        <v>445</v>
      </c>
      <c r="C6" s="6" t="s">
        <v>446</v>
      </c>
      <c r="D6" s="6" t="str">
        <f>"1,3244"</f>
        <v>1,3244</v>
      </c>
      <c r="E6" s="6" t="s">
        <v>18</v>
      </c>
      <c r="F6" s="6" t="s">
        <v>447</v>
      </c>
      <c r="G6" s="7" t="s">
        <v>448</v>
      </c>
      <c r="H6" s="7" t="s">
        <v>296</v>
      </c>
      <c r="I6" s="7" t="s">
        <v>283</v>
      </c>
      <c r="J6" s="8"/>
      <c r="K6" s="6" t="str">
        <f>"55,0"</f>
        <v>55,0</v>
      </c>
      <c r="L6" s="7" t="str">
        <f>"72,8420"</f>
        <v>72,8420</v>
      </c>
      <c r="M6" s="6" t="s">
        <v>450</v>
      </c>
    </row>
    <row r="8" spans="1:13" ht="15" x14ac:dyDescent="0.2">
      <c r="A8" s="35" t="s">
        <v>265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2">
      <c r="A9" s="9" t="s">
        <v>1146</v>
      </c>
      <c r="B9" s="9" t="s">
        <v>1147</v>
      </c>
      <c r="C9" s="9" t="s">
        <v>1148</v>
      </c>
      <c r="D9" s="9" t="str">
        <f>"1,1950"</f>
        <v>1,1950</v>
      </c>
      <c r="E9" s="9" t="s">
        <v>18</v>
      </c>
      <c r="F9" s="9" t="s">
        <v>1081</v>
      </c>
      <c r="G9" s="10" t="s">
        <v>520</v>
      </c>
      <c r="H9" s="11" t="s">
        <v>271</v>
      </c>
      <c r="I9" s="11" t="s">
        <v>271</v>
      </c>
      <c r="J9" s="11"/>
      <c r="K9" s="9" t="str">
        <f>"107,5"</f>
        <v>107,5</v>
      </c>
      <c r="L9" s="10" t="str">
        <f>"128,4625"</f>
        <v>128,4625</v>
      </c>
      <c r="M9" s="9" t="s">
        <v>1086</v>
      </c>
    </row>
    <row r="10" spans="1:13" x14ac:dyDescent="0.2">
      <c r="A10" s="14" t="s">
        <v>267</v>
      </c>
      <c r="B10" s="14" t="s">
        <v>268</v>
      </c>
      <c r="C10" s="14" t="s">
        <v>269</v>
      </c>
      <c r="D10" s="14" t="str">
        <f>"1,1985"</f>
        <v>1,1985</v>
      </c>
      <c r="E10" s="14" t="s">
        <v>18</v>
      </c>
      <c r="F10" s="14" t="s">
        <v>36</v>
      </c>
      <c r="G10" s="15" t="s">
        <v>166</v>
      </c>
      <c r="H10" s="15" t="s">
        <v>167</v>
      </c>
      <c r="I10" s="15" t="s">
        <v>275</v>
      </c>
      <c r="J10" s="16"/>
      <c r="K10" s="14" t="str">
        <f>"147,5"</f>
        <v>147,5</v>
      </c>
      <c r="L10" s="15" t="str">
        <f>"176,7788"</f>
        <v>176,7788</v>
      </c>
      <c r="M10" s="28" t="s">
        <v>1429</v>
      </c>
    </row>
    <row r="11" spans="1:13" x14ac:dyDescent="0.2">
      <c r="A11" s="14" t="s">
        <v>1149</v>
      </c>
      <c r="B11" s="14" t="s">
        <v>1150</v>
      </c>
      <c r="C11" s="14" t="s">
        <v>1151</v>
      </c>
      <c r="D11" s="14" t="str">
        <f>"1,1933"</f>
        <v>1,1933</v>
      </c>
      <c r="E11" s="14" t="s">
        <v>18</v>
      </c>
      <c r="F11" s="14" t="s">
        <v>36</v>
      </c>
      <c r="G11" s="16" t="s">
        <v>297</v>
      </c>
      <c r="H11" s="16"/>
      <c r="I11" s="16"/>
      <c r="J11" s="16"/>
      <c r="K11" s="14" t="str">
        <f>"0.00"</f>
        <v>0.00</v>
      </c>
      <c r="L11" s="15" t="str">
        <f>"0,0000"</f>
        <v>0,0000</v>
      </c>
      <c r="M11" s="14" t="s">
        <v>1152</v>
      </c>
    </row>
    <row r="12" spans="1:13" x14ac:dyDescent="0.2">
      <c r="A12" s="12" t="s">
        <v>458</v>
      </c>
      <c r="B12" s="12" t="s">
        <v>475</v>
      </c>
      <c r="C12" s="12" t="s">
        <v>460</v>
      </c>
      <c r="D12" s="12" t="str">
        <f>"1,1766"</f>
        <v>1,1766</v>
      </c>
      <c r="E12" s="12" t="s">
        <v>18</v>
      </c>
      <c r="F12" s="12" t="s">
        <v>36</v>
      </c>
      <c r="G12" s="17" t="s">
        <v>270</v>
      </c>
      <c r="H12" s="17" t="s">
        <v>461</v>
      </c>
      <c r="I12" s="17" t="s">
        <v>166</v>
      </c>
      <c r="J12" s="13"/>
      <c r="K12" s="12" t="str">
        <f>"135,0"</f>
        <v>135,0</v>
      </c>
      <c r="L12" s="17" t="str">
        <f>"158,8410"</f>
        <v>158,8410</v>
      </c>
      <c r="M12" s="12" t="s">
        <v>462</v>
      </c>
    </row>
    <row r="14" spans="1:13" ht="15" x14ac:dyDescent="0.2">
      <c r="A14" s="35" t="s">
        <v>287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3" x14ac:dyDescent="0.2">
      <c r="A15" s="9" t="s">
        <v>1154</v>
      </c>
      <c r="B15" s="9" t="s">
        <v>1155</v>
      </c>
      <c r="C15" s="9" t="s">
        <v>1156</v>
      </c>
      <c r="D15" s="9" t="str">
        <f>"1,1340"</f>
        <v>1,1340</v>
      </c>
      <c r="E15" s="9" t="s">
        <v>35</v>
      </c>
      <c r="F15" s="9" t="s">
        <v>36</v>
      </c>
      <c r="G15" s="10" t="s">
        <v>514</v>
      </c>
      <c r="H15" s="10" t="s">
        <v>554</v>
      </c>
      <c r="I15" s="10" t="s">
        <v>461</v>
      </c>
      <c r="J15" s="11"/>
      <c r="K15" s="9" t="str">
        <f>"130,0"</f>
        <v>130,0</v>
      </c>
      <c r="L15" s="10" t="str">
        <f>"147,4200"</f>
        <v>147,4200</v>
      </c>
      <c r="M15" s="9" t="s">
        <v>1157</v>
      </c>
    </row>
    <row r="16" spans="1:13" x14ac:dyDescent="0.2">
      <c r="A16" s="14" t="s">
        <v>1159</v>
      </c>
      <c r="B16" s="14" t="s">
        <v>1160</v>
      </c>
      <c r="C16" s="14" t="s">
        <v>1102</v>
      </c>
      <c r="D16" s="14" t="str">
        <f>"1,1325"</f>
        <v>1,1325</v>
      </c>
      <c r="E16" s="14" t="s">
        <v>18</v>
      </c>
      <c r="F16" s="14" t="s">
        <v>63</v>
      </c>
      <c r="G16" s="15" t="s">
        <v>303</v>
      </c>
      <c r="H16" s="15" t="s">
        <v>40</v>
      </c>
      <c r="I16" s="15" t="s">
        <v>548</v>
      </c>
      <c r="J16" s="16"/>
      <c r="K16" s="14" t="str">
        <f>"117,5"</f>
        <v>117,5</v>
      </c>
      <c r="L16" s="15" t="str">
        <f>"133,0688"</f>
        <v>133,0688</v>
      </c>
      <c r="M16" s="14" t="s">
        <v>1161</v>
      </c>
    </row>
    <row r="17" spans="1:13" x14ac:dyDescent="0.2">
      <c r="A17" s="12" t="s">
        <v>486</v>
      </c>
      <c r="B17" s="12" t="s">
        <v>487</v>
      </c>
      <c r="C17" s="12" t="s">
        <v>488</v>
      </c>
      <c r="D17" s="12" t="str">
        <f>"1,1386"</f>
        <v>1,1386</v>
      </c>
      <c r="E17" s="12" t="s">
        <v>18</v>
      </c>
      <c r="F17" s="12" t="s">
        <v>36</v>
      </c>
      <c r="G17" s="17" t="s">
        <v>293</v>
      </c>
      <c r="H17" s="13" t="s">
        <v>25</v>
      </c>
      <c r="I17" s="13" t="s">
        <v>25</v>
      </c>
      <c r="J17" s="13"/>
      <c r="K17" s="12" t="str">
        <f>"75,0"</f>
        <v>75,0</v>
      </c>
      <c r="L17" s="17" t="str">
        <f>"85,3950"</f>
        <v>85,3950</v>
      </c>
      <c r="M17" s="12" t="s">
        <v>489</v>
      </c>
    </row>
    <row r="19" spans="1:13" ht="15" x14ac:dyDescent="0.2">
      <c r="A19" s="35" t="s">
        <v>30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3" x14ac:dyDescent="0.2">
      <c r="A20" s="6" t="s">
        <v>1163</v>
      </c>
      <c r="B20" s="6" t="s">
        <v>1164</v>
      </c>
      <c r="C20" s="6" t="s">
        <v>1165</v>
      </c>
      <c r="D20" s="6" t="str">
        <f>"0,9119"</f>
        <v>0,9119</v>
      </c>
      <c r="E20" s="6" t="s">
        <v>18</v>
      </c>
      <c r="F20" s="6" t="s">
        <v>36</v>
      </c>
      <c r="G20" s="7" t="s">
        <v>461</v>
      </c>
      <c r="H20" s="7" t="s">
        <v>166</v>
      </c>
      <c r="I20" s="7" t="s">
        <v>98</v>
      </c>
      <c r="J20" s="8"/>
      <c r="K20" s="6" t="str">
        <f>"140,0"</f>
        <v>140,0</v>
      </c>
      <c r="L20" s="7" t="str">
        <f>"127,6660"</f>
        <v>127,6660</v>
      </c>
      <c r="M20" s="6" t="s">
        <v>1166</v>
      </c>
    </row>
    <row r="22" spans="1:13" ht="15" x14ac:dyDescent="0.2">
      <c r="A22" s="35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3" x14ac:dyDescent="0.2">
      <c r="A23" s="9" t="s">
        <v>496</v>
      </c>
      <c r="B23" s="9" t="s">
        <v>497</v>
      </c>
      <c r="C23" s="9" t="s">
        <v>498</v>
      </c>
      <c r="D23" s="9" t="str">
        <f>"0,7249"</f>
        <v>0,7249</v>
      </c>
      <c r="E23" s="9" t="s">
        <v>35</v>
      </c>
      <c r="F23" s="9" t="s">
        <v>36</v>
      </c>
      <c r="G23" s="10" t="s">
        <v>461</v>
      </c>
      <c r="H23" s="10" t="s">
        <v>98</v>
      </c>
      <c r="I23" s="10" t="s">
        <v>21</v>
      </c>
      <c r="J23" s="11"/>
      <c r="K23" s="9" t="str">
        <f>"150,0"</f>
        <v>150,0</v>
      </c>
      <c r="L23" s="10" t="str">
        <f>"108,7350"</f>
        <v>108,7350</v>
      </c>
      <c r="M23" s="9" t="s">
        <v>499</v>
      </c>
    </row>
    <row r="24" spans="1:13" x14ac:dyDescent="0.2">
      <c r="A24" s="14" t="s">
        <v>1168</v>
      </c>
      <c r="B24" s="14" t="s">
        <v>1169</v>
      </c>
      <c r="C24" s="14" t="s">
        <v>308</v>
      </c>
      <c r="D24" s="14" t="str">
        <f>"0,7300"</f>
        <v>0,7300</v>
      </c>
      <c r="E24" s="14" t="s">
        <v>18</v>
      </c>
      <c r="F24" s="14" t="s">
        <v>36</v>
      </c>
      <c r="G24" s="15" t="s">
        <v>249</v>
      </c>
      <c r="H24" s="15" t="s">
        <v>397</v>
      </c>
      <c r="I24" s="15" t="s">
        <v>193</v>
      </c>
      <c r="J24" s="16"/>
      <c r="K24" s="14" t="str">
        <f>"215,0"</f>
        <v>215,0</v>
      </c>
      <c r="L24" s="15" t="str">
        <f>"156,9500"</f>
        <v>156,9500</v>
      </c>
      <c r="M24" s="14" t="s">
        <v>1170</v>
      </c>
    </row>
    <row r="25" spans="1:13" x14ac:dyDescent="0.2">
      <c r="A25" s="14" t="s">
        <v>1172</v>
      </c>
      <c r="B25" s="14" t="s">
        <v>1173</v>
      </c>
      <c r="C25" s="14" t="s">
        <v>498</v>
      </c>
      <c r="D25" s="14" t="str">
        <f>"0,7249"</f>
        <v>0,7249</v>
      </c>
      <c r="E25" s="14" t="s">
        <v>18</v>
      </c>
      <c r="F25" s="14" t="s">
        <v>35</v>
      </c>
      <c r="G25" s="15" t="s">
        <v>42</v>
      </c>
      <c r="H25" s="15" t="s">
        <v>397</v>
      </c>
      <c r="I25" s="16" t="s">
        <v>193</v>
      </c>
      <c r="J25" s="16"/>
      <c r="K25" s="14" t="str">
        <f>"207,5"</f>
        <v>207,5</v>
      </c>
      <c r="L25" s="15" t="str">
        <f>"150,4168"</f>
        <v>150,4168</v>
      </c>
      <c r="M25" s="14" t="s">
        <v>1174</v>
      </c>
    </row>
    <row r="26" spans="1:13" x14ac:dyDescent="0.2">
      <c r="A26" s="14" t="s">
        <v>1175</v>
      </c>
      <c r="B26" s="14" t="s">
        <v>857</v>
      </c>
      <c r="C26" s="14" t="s">
        <v>233</v>
      </c>
      <c r="D26" s="14" t="str">
        <f>"0,7193"</f>
        <v>0,7193</v>
      </c>
      <c r="E26" s="14" t="s">
        <v>18</v>
      </c>
      <c r="F26" s="14" t="s">
        <v>36</v>
      </c>
      <c r="G26" s="15" t="s">
        <v>28</v>
      </c>
      <c r="H26" s="16"/>
      <c r="I26" s="16"/>
      <c r="J26" s="16"/>
      <c r="K26" s="14" t="str">
        <f>"180,0"</f>
        <v>180,0</v>
      </c>
      <c r="L26" s="15" t="str">
        <f>"129,4740"</f>
        <v>129,4740</v>
      </c>
      <c r="M26" s="14" t="s">
        <v>80</v>
      </c>
    </row>
    <row r="27" spans="1:13" x14ac:dyDescent="0.2">
      <c r="A27" s="12" t="s">
        <v>1177</v>
      </c>
      <c r="B27" s="12" t="s">
        <v>1178</v>
      </c>
      <c r="C27" s="12" t="s">
        <v>854</v>
      </c>
      <c r="D27" s="12" t="str">
        <f>"0,7228"</f>
        <v>0,7228</v>
      </c>
      <c r="E27" s="12" t="s">
        <v>18</v>
      </c>
      <c r="F27" s="12" t="s">
        <v>36</v>
      </c>
      <c r="G27" s="17" t="s">
        <v>21</v>
      </c>
      <c r="H27" s="17" t="s">
        <v>67</v>
      </c>
      <c r="I27" s="13" t="s">
        <v>37</v>
      </c>
      <c r="J27" s="13"/>
      <c r="K27" s="12" t="str">
        <f>"160,0"</f>
        <v>160,0</v>
      </c>
      <c r="L27" s="17" t="str">
        <f>"115,6480"</f>
        <v>115,6480</v>
      </c>
      <c r="M27" s="12" t="s">
        <v>1179</v>
      </c>
    </row>
    <row r="29" spans="1:13" ht="15" x14ac:dyDescent="0.2">
      <c r="A29" s="35" t="s">
        <v>30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3" x14ac:dyDescent="0.2">
      <c r="A30" s="9" t="s">
        <v>1181</v>
      </c>
      <c r="B30" s="9" t="s">
        <v>1182</v>
      </c>
      <c r="C30" s="9" t="s">
        <v>1183</v>
      </c>
      <c r="D30" s="9" t="str">
        <f>"0,6709"</f>
        <v>0,6709</v>
      </c>
      <c r="E30" s="9" t="s">
        <v>35</v>
      </c>
      <c r="F30" s="9" t="s">
        <v>1184</v>
      </c>
      <c r="G30" s="10" t="s">
        <v>142</v>
      </c>
      <c r="H30" s="10" t="s">
        <v>85</v>
      </c>
      <c r="I30" s="10" t="s">
        <v>246</v>
      </c>
      <c r="J30" s="11"/>
      <c r="K30" s="9" t="str">
        <f>"262,5"</f>
        <v>262,5</v>
      </c>
      <c r="L30" s="10" t="str">
        <f>"176,1112"</f>
        <v>176,1112</v>
      </c>
      <c r="M30" s="9" t="s">
        <v>169</v>
      </c>
    </row>
    <row r="31" spans="1:13" x14ac:dyDescent="0.2">
      <c r="A31" s="14" t="s">
        <v>880</v>
      </c>
      <c r="B31" s="14" t="s">
        <v>881</v>
      </c>
      <c r="C31" s="14" t="s">
        <v>645</v>
      </c>
      <c r="D31" s="14" t="str">
        <f>"0,6749"</f>
        <v>0,6749</v>
      </c>
      <c r="E31" s="14" t="s">
        <v>18</v>
      </c>
      <c r="F31" s="14" t="s">
        <v>36</v>
      </c>
      <c r="G31" s="16" t="s">
        <v>85</v>
      </c>
      <c r="H31" s="15" t="s">
        <v>85</v>
      </c>
      <c r="I31" s="16" t="s">
        <v>86</v>
      </c>
      <c r="J31" s="16"/>
      <c r="K31" s="14" t="str">
        <f>"260,0"</f>
        <v>260,0</v>
      </c>
      <c r="L31" s="15" t="str">
        <f>"175,4740"</f>
        <v>175,4740</v>
      </c>
      <c r="M31" s="14" t="s">
        <v>80</v>
      </c>
    </row>
    <row r="32" spans="1:13" x14ac:dyDescent="0.2">
      <c r="A32" s="14" t="s">
        <v>1185</v>
      </c>
      <c r="B32" s="14" t="s">
        <v>511</v>
      </c>
      <c r="C32" s="14" t="s">
        <v>512</v>
      </c>
      <c r="D32" s="14" t="str">
        <f>"0,6719"</f>
        <v>0,6719</v>
      </c>
      <c r="E32" s="14" t="s">
        <v>35</v>
      </c>
      <c r="F32" s="14" t="s">
        <v>513</v>
      </c>
      <c r="G32" s="15" t="s">
        <v>27</v>
      </c>
      <c r="H32" s="16" t="s">
        <v>88</v>
      </c>
      <c r="I32" s="15" t="s">
        <v>88</v>
      </c>
      <c r="J32" s="16"/>
      <c r="K32" s="14" t="str">
        <f>"187,5"</f>
        <v>187,5</v>
      </c>
      <c r="L32" s="15" t="str">
        <f>"125,9812"</f>
        <v>125,9812</v>
      </c>
      <c r="M32" s="14" t="s">
        <v>338</v>
      </c>
    </row>
    <row r="33" spans="1:13" x14ac:dyDescent="0.2">
      <c r="A33" s="12" t="s">
        <v>1187</v>
      </c>
      <c r="B33" s="12" t="s">
        <v>1188</v>
      </c>
      <c r="C33" s="12" t="s">
        <v>512</v>
      </c>
      <c r="D33" s="12" t="str">
        <f>"0,6719"</f>
        <v>0,6719</v>
      </c>
      <c r="E33" s="12" t="s">
        <v>18</v>
      </c>
      <c r="F33" s="12" t="s">
        <v>36</v>
      </c>
      <c r="G33" s="17" t="s">
        <v>43</v>
      </c>
      <c r="H33" s="13" t="s">
        <v>337</v>
      </c>
      <c r="I33" s="13" t="s">
        <v>337</v>
      </c>
      <c r="J33" s="13"/>
      <c r="K33" s="12" t="str">
        <f>"220,0"</f>
        <v>220,0</v>
      </c>
      <c r="L33" s="17" t="str">
        <f>"159,9391"</f>
        <v>159,9391</v>
      </c>
      <c r="M33" s="12" t="s">
        <v>80</v>
      </c>
    </row>
    <row r="35" spans="1:13" ht="15" x14ac:dyDescent="0.2">
      <c r="A35" s="35" t="s">
        <v>46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3" x14ac:dyDescent="0.2">
      <c r="A36" s="9" t="s">
        <v>1190</v>
      </c>
      <c r="B36" s="9" t="s">
        <v>1191</v>
      </c>
      <c r="C36" s="9" t="s">
        <v>1192</v>
      </c>
      <c r="D36" s="9" t="str">
        <f>"0,6491"</f>
        <v>0,6491</v>
      </c>
      <c r="E36" s="9" t="s">
        <v>18</v>
      </c>
      <c r="F36" s="9" t="s">
        <v>280</v>
      </c>
      <c r="G36" s="10" t="s">
        <v>41</v>
      </c>
      <c r="H36" s="10" t="s">
        <v>271</v>
      </c>
      <c r="I36" s="10" t="s">
        <v>166</v>
      </c>
      <c r="J36" s="11"/>
      <c r="K36" s="9" t="str">
        <f>"135,0"</f>
        <v>135,0</v>
      </c>
      <c r="L36" s="10" t="str">
        <f>"87,6285"</f>
        <v>87,6285</v>
      </c>
      <c r="M36" s="9" t="s">
        <v>187</v>
      </c>
    </row>
    <row r="37" spans="1:13" x14ac:dyDescent="0.2">
      <c r="A37" s="14" t="s">
        <v>1194</v>
      </c>
      <c r="B37" s="14" t="s">
        <v>1195</v>
      </c>
      <c r="C37" s="14" t="s">
        <v>1196</v>
      </c>
      <c r="D37" s="14" t="str">
        <f>"0,6656"</f>
        <v>0,6656</v>
      </c>
      <c r="E37" s="14" t="s">
        <v>18</v>
      </c>
      <c r="F37" s="14" t="s">
        <v>148</v>
      </c>
      <c r="G37" s="16" t="s">
        <v>64</v>
      </c>
      <c r="H37" s="15" t="s">
        <v>64</v>
      </c>
      <c r="I37" s="16" t="s">
        <v>249</v>
      </c>
      <c r="J37" s="16"/>
      <c r="K37" s="14" t="str">
        <f>"195,0"</f>
        <v>195,0</v>
      </c>
      <c r="L37" s="15" t="str">
        <f>"129,7920"</f>
        <v>129,7920</v>
      </c>
      <c r="M37" s="14" t="s">
        <v>1197</v>
      </c>
    </row>
    <row r="38" spans="1:13" x14ac:dyDescent="0.2">
      <c r="A38" s="14" t="s">
        <v>345</v>
      </c>
      <c r="B38" s="14" t="s">
        <v>335</v>
      </c>
      <c r="C38" s="14" t="s">
        <v>336</v>
      </c>
      <c r="D38" s="14" t="str">
        <f>"0,6479"</f>
        <v>0,6479</v>
      </c>
      <c r="E38" s="14" t="s">
        <v>18</v>
      </c>
      <c r="F38" s="14" t="s">
        <v>36</v>
      </c>
      <c r="G38" s="15" t="s">
        <v>53</v>
      </c>
      <c r="H38" s="15" t="s">
        <v>43</v>
      </c>
      <c r="I38" s="15" t="s">
        <v>337</v>
      </c>
      <c r="J38" s="16"/>
      <c r="K38" s="14" t="str">
        <f>"227,5"</f>
        <v>227,5</v>
      </c>
      <c r="L38" s="15" t="str">
        <f>"147,3972"</f>
        <v>147,3972</v>
      </c>
      <c r="M38" s="14" t="s">
        <v>338</v>
      </c>
    </row>
    <row r="39" spans="1:13" x14ac:dyDescent="0.2">
      <c r="A39" s="14" t="s">
        <v>1199</v>
      </c>
      <c r="B39" s="14" t="s">
        <v>1200</v>
      </c>
      <c r="C39" s="14" t="s">
        <v>1201</v>
      </c>
      <c r="D39" s="14" t="str">
        <f>"0,6440"</f>
        <v>0,6440</v>
      </c>
      <c r="E39" s="14" t="s">
        <v>18</v>
      </c>
      <c r="F39" s="14" t="s">
        <v>447</v>
      </c>
      <c r="G39" s="15" t="s">
        <v>51</v>
      </c>
      <c r="H39" s="15" t="s">
        <v>43</v>
      </c>
      <c r="I39" s="16" t="s">
        <v>337</v>
      </c>
      <c r="J39" s="16"/>
      <c r="K39" s="14" t="str">
        <f>"220,0"</f>
        <v>220,0</v>
      </c>
      <c r="L39" s="15" t="str">
        <f>"141,6800"</f>
        <v>141,6800</v>
      </c>
      <c r="M39" s="14" t="s">
        <v>1202</v>
      </c>
    </row>
    <row r="40" spans="1:13" x14ac:dyDescent="0.2">
      <c r="A40" s="14" t="s">
        <v>1204</v>
      </c>
      <c r="B40" s="14" t="s">
        <v>1205</v>
      </c>
      <c r="C40" s="14" t="s">
        <v>1206</v>
      </c>
      <c r="D40" s="14" t="str">
        <f>"0,6444"</f>
        <v>0,6444</v>
      </c>
      <c r="E40" s="14" t="s">
        <v>35</v>
      </c>
      <c r="F40" s="14" t="s">
        <v>1207</v>
      </c>
      <c r="G40" s="15" t="s">
        <v>67</v>
      </c>
      <c r="H40" s="15" t="s">
        <v>76</v>
      </c>
      <c r="I40" s="15" t="s">
        <v>28</v>
      </c>
      <c r="J40" s="16"/>
      <c r="K40" s="14" t="str">
        <f>"180,0"</f>
        <v>180,0</v>
      </c>
      <c r="L40" s="15" t="str">
        <f>"115,9920"</f>
        <v>115,9920</v>
      </c>
      <c r="M40" s="14" t="s">
        <v>1208</v>
      </c>
    </row>
    <row r="41" spans="1:13" x14ac:dyDescent="0.2">
      <c r="A41" s="14" t="s">
        <v>1209</v>
      </c>
      <c r="B41" s="14" t="s">
        <v>1210</v>
      </c>
      <c r="C41" s="14" t="s">
        <v>173</v>
      </c>
      <c r="D41" s="14" t="str">
        <f>"0,6413"</f>
        <v>0,6413</v>
      </c>
      <c r="E41" s="14" t="s">
        <v>35</v>
      </c>
      <c r="F41" s="14" t="s">
        <v>36</v>
      </c>
      <c r="G41" s="16" t="s">
        <v>200</v>
      </c>
      <c r="H41" s="16" t="s">
        <v>200</v>
      </c>
      <c r="I41" s="16"/>
      <c r="J41" s="16"/>
      <c r="K41" s="14" t="str">
        <f>"0.00"</f>
        <v>0.00</v>
      </c>
      <c r="L41" s="15" t="str">
        <f>"0,0000"</f>
        <v>0,0000</v>
      </c>
      <c r="M41" s="14" t="s">
        <v>80</v>
      </c>
    </row>
    <row r="42" spans="1:13" x14ac:dyDescent="0.2">
      <c r="A42" s="12" t="s">
        <v>345</v>
      </c>
      <c r="B42" s="12" t="s">
        <v>346</v>
      </c>
      <c r="C42" s="12" t="s">
        <v>336</v>
      </c>
      <c r="D42" s="12" t="str">
        <f>"0,6479"</f>
        <v>0,6479</v>
      </c>
      <c r="E42" s="12" t="s">
        <v>18</v>
      </c>
      <c r="F42" s="12" t="s">
        <v>36</v>
      </c>
      <c r="G42" s="17" t="s">
        <v>53</v>
      </c>
      <c r="H42" s="17" t="s">
        <v>43</v>
      </c>
      <c r="I42" s="17" t="s">
        <v>337</v>
      </c>
      <c r="J42" s="13"/>
      <c r="K42" s="12" t="str">
        <f>"227,5"</f>
        <v>227,5</v>
      </c>
      <c r="L42" s="17" t="str">
        <f>"150,3452"</f>
        <v>150,3452</v>
      </c>
      <c r="M42" s="12" t="s">
        <v>338</v>
      </c>
    </row>
    <row r="44" spans="1:13" ht="15" x14ac:dyDescent="0.2">
      <c r="A44" s="35" t="s">
        <v>58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3" x14ac:dyDescent="0.2">
      <c r="A45" s="9" t="s">
        <v>1212</v>
      </c>
      <c r="B45" s="9" t="s">
        <v>1213</v>
      </c>
      <c r="C45" s="9" t="s">
        <v>1214</v>
      </c>
      <c r="D45" s="9" t="str">
        <f>"0,6214"</f>
        <v>0,6214</v>
      </c>
      <c r="E45" s="9" t="s">
        <v>18</v>
      </c>
      <c r="F45" s="9" t="s">
        <v>819</v>
      </c>
      <c r="G45" s="10" t="s">
        <v>43</v>
      </c>
      <c r="H45" s="11" t="s">
        <v>165</v>
      </c>
      <c r="I45" s="11" t="s">
        <v>165</v>
      </c>
      <c r="J45" s="11"/>
      <c r="K45" s="9" t="str">
        <f>"220,0"</f>
        <v>220,0</v>
      </c>
      <c r="L45" s="10" t="str">
        <f>"136,7080"</f>
        <v>136,7080</v>
      </c>
      <c r="M45" s="9" t="s">
        <v>1215</v>
      </c>
    </row>
    <row r="46" spans="1:13" x14ac:dyDescent="0.2">
      <c r="A46" s="14" t="s">
        <v>1217</v>
      </c>
      <c r="B46" s="14" t="s">
        <v>1218</v>
      </c>
      <c r="C46" s="14" t="s">
        <v>191</v>
      </c>
      <c r="D46" s="14" t="str">
        <f>"0,6217"</f>
        <v>0,6217</v>
      </c>
      <c r="E46" s="14" t="s">
        <v>1219</v>
      </c>
      <c r="F46" s="14" t="s">
        <v>192</v>
      </c>
      <c r="G46" s="15" t="s">
        <v>179</v>
      </c>
      <c r="H46" s="15" t="s">
        <v>85</v>
      </c>
      <c r="I46" s="15" t="s">
        <v>259</v>
      </c>
      <c r="J46" s="16"/>
      <c r="K46" s="14" t="str">
        <f>"265,0"</f>
        <v>265,0</v>
      </c>
      <c r="L46" s="15" t="str">
        <f>"164,7505"</f>
        <v>164,7505</v>
      </c>
      <c r="M46" s="14" t="s">
        <v>144</v>
      </c>
    </row>
    <row r="47" spans="1:13" x14ac:dyDescent="0.2">
      <c r="A47" s="14" t="s">
        <v>1221</v>
      </c>
      <c r="B47" s="14" t="s">
        <v>1222</v>
      </c>
      <c r="C47" s="14" t="s">
        <v>1223</v>
      </c>
      <c r="D47" s="14" t="str">
        <f>"0,6131"</f>
        <v>0,6131</v>
      </c>
      <c r="E47" s="14" t="s">
        <v>18</v>
      </c>
      <c r="F47" s="14" t="s">
        <v>1224</v>
      </c>
      <c r="G47" s="15" t="s">
        <v>142</v>
      </c>
      <c r="H47" s="15" t="s">
        <v>85</v>
      </c>
      <c r="I47" s="16" t="s">
        <v>250</v>
      </c>
      <c r="J47" s="16"/>
      <c r="K47" s="14" t="str">
        <f>"260,0"</f>
        <v>260,0</v>
      </c>
      <c r="L47" s="15" t="str">
        <f>"159,4060"</f>
        <v>159,4060</v>
      </c>
      <c r="M47" s="14" t="s">
        <v>1225</v>
      </c>
    </row>
    <row r="48" spans="1:13" x14ac:dyDescent="0.2">
      <c r="A48" s="14" t="s">
        <v>1227</v>
      </c>
      <c r="B48" s="14" t="s">
        <v>1228</v>
      </c>
      <c r="C48" s="14" t="s">
        <v>945</v>
      </c>
      <c r="D48" s="14" t="str">
        <f>"0,6152"</f>
        <v>0,6152</v>
      </c>
      <c r="E48" s="14" t="s">
        <v>18</v>
      </c>
      <c r="F48" s="14" t="s">
        <v>36</v>
      </c>
      <c r="G48" s="15" t="s">
        <v>44</v>
      </c>
      <c r="H48" s="15" t="s">
        <v>186</v>
      </c>
      <c r="I48" s="16" t="s">
        <v>1229</v>
      </c>
      <c r="J48" s="16"/>
      <c r="K48" s="14" t="str">
        <f>"235,0"</f>
        <v>235,0</v>
      </c>
      <c r="L48" s="15" t="str">
        <f>"144,5720"</f>
        <v>144,5720</v>
      </c>
      <c r="M48" s="14" t="s">
        <v>1230</v>
      </c>
    </row>
    <row r="49" spans="1:13" x14ac:dyDescent="0.2">
      <c r="A49" s="14" t="s">
        <v>1231</v>
      </c>
      <c r="B49" s="14" t="s">
        <v>1232</v>
      </c>
      <c r="C49" s="14" t="s">
        <v>945</v>
      </c>
      <c r="D49" s="14" t="str">
        <f>"0,6152"</f>
        <v>0,6152</v>
      </c>
      <c r="E49" s="14" t="s">
        <v>18</v>
      </c>
      <c r="F49" s="14" t="s">
        <v>36</v>
      </c>
      <c r="G49" s="15" t="s">
        <v>44</v>
      </c>
      <c r="H49" s="15" t="s">
        <v>186</v>
      </c>
      <c r="I49" s="16" t="s">
        <v>1229</v>
      </c>
      <c r="J49" s="16"/>
      <c r="K49" s="14" t="str">
        <f>"235,0"</f>
        <v>235,0</v>
      </c>
      <c r="L49" s="15" t="str">
        <f>"146,0177"</f>
        <v>146,0177</v>
      </c>
      <c r="M49" s="14" t="s">
        <v>1230</v>
      </c>
    </row>
    <row r="50" spans="1:13" x14ac:dyDescent="0.2">
      <c r="A50" s="14" t="s">
        <v>1234</v>
      </c>
      <c r="B50" s="14" t="s">
        <v>1235</v>
      </c>
      <c r="C50" s="14" t="s">
        <v>692</v>
      </c>
      <c r="D50" s="14" t="str">
        <f>"0,6106"</f>
        <v>0,6106</v>
      </c>
      <c r="E50" s="14" t="s">
        <v>35</v>
      </c>
      <c r="F50" s="14" t="s">
        <v>36</v>
      </c>
      <c r="G50" s="15" t="s">
        <v>44</v>
      </c>
      <c r="H50" s="15" t="s">
        <v>52</v>
      </c>
      <c r="I50" s="16" t="s">
        <v>142</v>
      </c>
      <c r="J50" s="16"/>
      <c r="K50" s="14" t="str">
        <f>"230,0"</f>
        <v>230,0</v>
      </c>
      <c r="L50" s="15" t="str">
        <f>"154,0605"</f>
        <v>154,0605</v>
      </c>
      <c r="M50" s="14" t="s">
        <v>1236</v>
      </c>
    </row>
    <row r="51" spans="1:13" x14ac:dyDescent="0.2">
      <c r="A51" s="14" t="s">
        <v>1238</v>
      </c>
      <c r="B51" s="14" t="s">
        <v>1239</v>
      </c>
      <c r="C51" s="14" t="s">
        <v>1240</v>
      </c>
      <c r="D51" s="14" t="str">
        <f>"0,6103"</f>
        <v>0,6103</v>
      </c>
      <c r="E51" s="14" t="s">
        <v>18</v>
      </c>
      <c r="F51" s="14" t="s">
        <v>63</v>
      </c>
      <c r="G51" s="16" t="s">
        <v>64</v>
      </c>
      <c r="H51" s="15" t="s">
        <v>149</v>
      </c>
      <c r="I51" s="15" t="s">
        <v>157</v>
      </c>
      <c r="J51" s="16"/>
      <c r="K51" s="14" t="str">
        <f>"217,5"</f>
        <v>217,5</v>
      </c>
      <c r="L51" s="15" t="str">
        <f>"143,6250"</f>
        <v>143,6250</v>
      </c>
      <c r="M51" s="14" t="s">
        <v>608</v>
      </c>
    </row>
    <row r="52" spans="1:13" x14ac:dyDescent="0.2">
      <c r="A52" s="12" t="s">
        <v>1242</v>
      </c>
      <c r="B52" s="12" t="s">
        <v>1243</v>
      </c>
      <c r="C52" s="12" t="s">
        <v>84</v>
      </c>
      <c r="D52" s="12" t="str">
        <f>"0,6096"</f>
        <v>0,6096</v>
      </c>
      <c r="E52" s="12" t="s">
        <v>18</v>
      </c>
      <c r="F52" s="12" t="s">
        <v>199</v>
      </c>
      <c r="G52" s="17" t="s">
        <v>28</v>
      </c>
      <c r="H52" s="17" t="s">
        <v>42</v>
      </c>
      <c r="I52" s="13" t="s">
        <v>89</v>
      </c>
      <c r="J52" s="13"/>
      <c r="K52" s="12" t="str">
        <f>"190,0"</f>
        <v>190,0</v>
      </c>
      <c r="L52" s="17" t="str">
        <f>"123,7000"</f>
        <v>123,7000</v>
      </c>
      <c r="M52" s="12" t="s">
        <v>144</v>
      </c>
    </row>
    <row r="54" spans="1:13" ht="15" x14ac:dyDescent="0.2">
      <c r="A54" s="35" t="s">
        <v>93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1:13" x14ac:dyDescent="0.2">
      <c r="A55" s="9" t="s">
        <v>1245</v>
      </c>
      <c r="B55" s="9" t="s">
        <v>1246</v>
      </c>
      <c r="C55" s="9" t="s">
        <v>1247</v>
      </c>
      <c r="D55" s="9" t="str">
        <f>"0,5858"</f>
        <v>0,5858</v>
      </c>
      <c r="E55" s="9" t="s">
        <v>18</v>
      </c>
      <c r="F55" s="9" t="s">
        <v>36</v>
      </c>
      <c r="G55" s="10" t="s">
        <v>143</v>
      </c>
      <c r="H55" s="10" t="s">
        <v>85</v>
      </c>
      <c r="I55" s="11" t="s">
        <v>259</v>
      </c>
      <c r="J55" s="11"/>
      <c r="K55" s="9" t="str">
        <f>"260,0"</f>
        <v>260,0</v>
      </c>
      <c r="L55" s="10" t="str">
        <f>"152,3080"</f>
        <v>152,3080</v>
      </c>
      <c r="M55" s="9" t="s">
        <v>80</v>
      </c>
    </row>
    <row r="56" spans="1:13" x14ac:dyDescent="0.2">
      <c r="A56" s="12" t="s">
        <v>1249</v>
      </c>
      <c r="B56" s="12" t="s">
        <v>1250</v>
      </c>
      <c r="C56" s="12" t="s">
        <v>1251</v>
      </c>
      <c r="D56" s="12" t="str">
        <f>"0,5870"</f>
        <v>0,5870</v>
      </c>
      <c r="E56" s="12" t="s">
        <v>18</v>
      </c>
      <c r="F56" s="12" t="s">
        <v>36</v>
      </c>
      <c r="G56" s="17" t="s">
        <v>52</v>
      </c>
      <c r="H56" s="17" t="s">
        <v>142</v>
      </c>
      <c r="I56" s="17" t="s">
        <v>143</v>
      </c>
      <c r="J56" s="13"/>
      <c r="K56" s="12" t="str">
        <f>"250,0"</f>
        <v>250,0</v>
      </c>
      <c r="L56" s="17" t="str">
        <f>"146,7500"</f>
        <v>146,7500</v>
      </c>
      <c r="M56" s="12" t="s">
        <v>1252</v>
      </c>
    </row>
    <row r="58" spans="1:13" ht="15" x14ac:dyDescent="0.2">
      <c r="A58" s="35" t="s">
        <v>1015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1:13" x14ac:dyDescent="0.2">
      <c r="A59" s="6" t="s">
        <v>1254</v>
      </c>
      <c r="B59" s="6" t="s">
        <v>1255</v>
      </c>
      <c r="C59" s="6" t="s">
        <v>1256</v>
      </c>
      <c r="D59" s="6" t="str">
        <f>"0,5553"</f>
        <v>0,5553</v>
      </c>
      <c r="E59" s="6" t="s">
        <v>18</v>
      </c>
      <c r="F59" s="6" t="s">
        <v>36</v>
      </c>
      <c r="G59" s="7" t="s">
        <v>251</v>
      </c>
      <c r="H59" s="8" t="s">
        <v>1257</v>
      </c>
      <c r="I59" s="7" t="s">
        <v>1257</v>
      </c>
      <c r="J59" s="8"/>
      <c r="K59" s="6" t="str">
        <f>"292,5"</f>
        <v>292,5</v>
      </c>
      <c r="L59" s="7" t="str">
        <f>"165,6738"</f>
        <v>165,6738</v>
      </c>
      <c r="M59" s="6" t="s">
        <v>1258</v>
      </c>
    </row>
    <row r="61" spans="1:13" ht="15" x14ac:dyDescent="0.2">
      <c r="E61" s="18" t="s">
        <v>102</v>
      </c>
    </row>
    <row r="62" spans="1:13" ht="15" x14ac:dyDescent="0.2">
      <c r="E62" s="18" t="s">
        <v>103</v>
      </c>
    </row>
    <row r="63" spans="1:13" ht="15" x14ac:dyDescent="0.2">
      <c r="E63" s="18" t="s">
        <v>104</v>
      </c>
    </row>
    <row r="64" spans="1:13" ht="15" x14ac:dyDescent="0.2">
      <c r="E64" s="18" t="s">
        <v>105</v>
      </c>
    </row>
    <row r="65" spans="1:5" ht="15" x14ac:dyDescent="0.2">
      <c r="E65" s="18" t="s">
        <v>105</v>
      </c>
    </row>
    <row r="66" spans="1:5" ht="15" x14ac:dyDescent="0.2">
      <c r="E66" s="18" t="s">
        <v>106</v>
      </c>
    </row>
    <row r="67" spans="1:5" ht="15" x14ac:dyDescent="0.2">
      <c r="E67" s="18"/>
    </row>
    <row r="69" spans="1:5" ht="18" x14ac:dyDescent="0.25">
      <c r="A69" s="19" t="s">
        <v>107</v>
      </c>
      <c r="B69" s="19"/>
    </row>
    <row r="70" spans="1:5" ht="15" x14ac:dyDescent="0.2">
      <c r="A70" s="20" t="s">
        <v>108</v>
      </c>
      <c r="B70" s="20"/>
    </row>
    <row r="71" spans="1:5" ht="14.25" x14ac:dyDescent="0.2">
      <c r="A71" s="22"/>
      <c r="B71" s="23" t="s">
        <v>562</v>
      </c>
    </row>
    <row r="72" spans="1:5" ht="15" x14ac:dyDescent="0.2">
      <c r="A72" s="24" t="s">
        <v>110</v>
      </c>
      <c r="B72" s="24" t="s">
        <v>111</v>
      </c>
      <c r="C72" s="24" t="s">
        <v>112</v>
      </c>
      <c r="D72" s="24" t="s">
        <v>113</v>
      </c>
      <c r="E72" s="24" t="s">
        <v>114</v>
      </c>
    </row>
    <row r="73" spans="1:5" x14ac:dyDescent="0.2">
      <c r="A73" s="21" t="s">
        <v>1162</v>
      </c>
      <c r="B73" s="4" t="s">
        <v>120</v>
      </c>
      <c r="C73" s="4" t="s">
        <v>134</v>
      </c>
      <c r="D73" s="4" t="s">
        <v>98</v>
      </c>
      <c r="E73" s="25" t="s">
        <v>1259</v>
      </c>
    </row>
    <row r="75" spans="1:5" ht="14.25" x14ac:dyDescent="0.2">
      <c r="A75" s="22"/>
      <c r="B75" s="23" t="s">
        <v>389</v>
      </c>
    </row>
    <row r="76" spans="1:5" ht="15" x14ac:dyDescent="0.2">
      <c r="A76" s="24" t="s">
        <v>110</v>
      </c>
      <c r="B76" s="24" t="s">
        <v>111</v>
      </c>
      <c r="C76" s="24" t="s">
        <v>112</v>
      </c>
      <c r="D76" s="24" t="s">
        <v>113</v>
      </c>
      <c r="E76" s="24" t="s">
        <v>114</v>
      </c>
    </row>
    <row r="77" spans="1:5" x14ac:dyDescent="0.2">
      <c r="A77" s="21" t="s">
        <v>1153</v>
      </c>
      <c r="B77" s="4" t="s">
        <v>209</v>
      </c>
      <c r="C77" s="4" t="s">
        <v>396</v>
      </c>
      <c r="D77" s="4" t="s">
        <v>461</v>
      </c>
      <c r="E77" s="25" t="s">
        <v>1260</v>
      </c>
    </row>
    <row r="78" spans="1:5" x14ac:dyDescent="0.2">
      <c r="A78" s="21" t="s">
        <v>1145</v>
      </c>
      <c r="B78" s="4" t="s">
        <v>209</v>
      </c>
      <c r="C78" s="4" t="s">
        <v>391</v>
      </c>
      <c r="D78" s="4" t="s">
        <v>520</v>
      </c>
      <c r="E78" s="25" t="s">
        <v>1261</v>
      </c>
    </row>
    <row r="80" spans="1:5" ht="14.25" x14ac:dyDescent="0.2">
      <c r="A80" s="22"/>
      <c r="B80" s="23" t="s">
        <v>109</v>
      </c>
    </row>
    <row r="81" spans="1:5" ht="15" x14ac:dyDescent="0.2">
      <c r="A81" s="24" t="s">
        <v>110</v>
      </c>
      <c r="B81" s="24" t="s">
        <v>111</v>
      </c>
      <c r="C81" s="24" t="s">
        <v>112</v>
      </c>
      <c r="D81" s="24" t="s">
        <v>113</v>
      </c>
      <c r="E81" s="24" t="s">
        <v>114</v>
      </c>
    </row>
    <row r="82" spans="1:5" x14ac:dyDescent="0.2">
      <c r="A82" s="21" t="s">
        <v>266</v>
      </c>
      <c r="B82" s="4" t="s">
        <v>109</v>
      </c>
      <c r="C82" s="4" t="s">
        <v>391</v>
      </c>
      <c r="D82" s="4" t="s">
        <v>275</v>
      </c>
      <c r="E82" s="25" t="s">
        <v>1262</v>
      </c>
    </row>
    <row r="83" spans="1:5" x14ac:dyDescent="0.2">
      <c r="A83" s="21" t="s">
        <v>1158</v>
      </c>
      <c r="B83" s="4" t="s">
        <v>109</v>
      </c>
      <c r="C83" s="4" t="s">
        <v>396</v>
      </c>
      <c r="D83" s="4" t="s">
        <v>548</v>
      </c>
      <c r="E83" s="25" t="s">
        <v>1263</v>
      </c>
    </row>
    <row r="84" spans="1:5" x14ac:dyDescent="0.2">
      <c r="A84" s="21" t="s">
        <v>485</v>
      </c>
      <c r="B84" s="4" t="s">
        <v>109</v>
      </c>
      <c r="C84" s="4" t="s">
        <v>396</v>
      </c>
      <c r="D84" s="4" t="s">
        <v>293</v>
      </c>
      <c r="E84" s="25" t="s">
        <v>1264</v>
      </c>
    </row>
    <row r="85" spans="1:5" x14ac:dyDescent="0.2">
      <c r="A85" s="21" t="s">
        <v>443</v>
      </c>
      <c r="B85" s="4" t="s">
        <v>109</v>
      </c>
      <c r="C85" s="4" t="s">
        <v>567</v>
      </c>
      <c r="D85" s="4" t="s">
        <v>283</v>
      </c>
      <c r="E85" s="25" t="s">
        <v>1265</v>
      </c>
    </row>
    <row r="87" spans="1:5" ht="14.25" x14ac:dyDescent="0.2">
      <c r="A87" s="22"/>
      <c r="B87" s="23" t="s">
        <v>227</v>
      </c>
    </row>
    <row r="88" spans="1:5" ht="15" x14ac:dyDescent="0.2">
      <c r="A88" s="24" t="s">
        <v>110</v>
      </c>
      <c r="B88" s="24" t="s">
        <v>111</v>
      </c>
      <c r="C88" s="24" t="s">
        <v>112</v>
      </c>
      <c r="D88" s="24" t="s">
        <v>113</v>
      </c>
      <c r="E88" s="24" t="s">
        <v>114</v>
      </c>
    </row>
    <row r="89" spans="1:5" x14ac:dyDescent="0.2">
      <c r="A89" s="21" t="s">
        <v>457</v>
      </c>
      <c r="B89" s="4" t="s">
        <v>228</v>
      </c>
      <c r="C89" s="4" t="s">
        <v>391</v>
      </c>
      <c r="D89" s="4" t="s">
        <v>166</v>
      </c>
      <c r="E89" s="25" t="s">
        <v>1266</v>
      </c>
    </row>
    <row r="92" spans="1:5" ht="15" x14ac:dyDescent="0.2">
      <c r="A92" s="20" t="s">
        <v>118</v>
      </c>
      <c r="B92" s="20"/>
    </row>
    <row r="93" spans="1:5" ht="14.25" x14ac:dyDescent="0.2">
      <c r="A93" s="22"/>
      <c r="B93" s="23" t="s">
        <v>119</v>
      </c>
    </row>
    <row r="94" spans="1:5" ht="15" x14ac:dyDescent="0.2">
      <c r="A94" s="24" t="s">
        <v>110</v>
      </c>
      <c r="B94" s="24" t="s">
        <v>111</v>
      </c>
      <c r="C94" s="24" t="s">
        <v>112</v>
      </c>
      <c r="D94" s="24" t="s">
        <v>113</v>
      </c>
      <c r="E94" s="24" t="s">
        <v>114</v>
      </c>
    </row>
    <row r="95" spans="1:5" x14ac:dyDescent="0.2">
      <c r="A95" s="21" t="s">
        <v>495</v>
      </c>
      <c r="B95" s="4" t="s">
        <v>120</v>
      </c>
      <c r="C95" s="4" t="s">
        <v>115</v>
      </c>
      <c r="D95" s="4" t="s">
        <v>21</v>
      </c>
      <c r="E95" s="25" t="s">
        <v>1267</v>
      </c>
    </row>
    <row r="96" spans="1:5" x14ac:dyDescent="0.2">
      <c r="A96" s="21" t="s">
        <v>1189</v>
      </c>
      <c r="B96" s="4" t="s">
        <v>120</v>
      </c>
      <c r="C96" s="4" t="s">
        <v>131</v>
      </c>
      <c r="D96" s="4" t="s">
        <v>166</v>
      </c>
      <c r="E96" s="25" t="s">
        <v>1268</v>
      </c>
    </row>
    <row r="98" spans="1:5" ht="14.25" x14ac:dyDescent="0.2">
      <c r="A98" s="22"/>
      <c r="B98" s="23" t="s">
        <v>208</v>
      </c>
    </row>
    <row r="99" spans="1:5" ht="15" x14ac:dyDescent="0.2">
      <c r="A99" s="24" t="s">
        <v>110</v>
      </c>
      <c r="B99" s="24" t="s">
        <v>111</v>
      </c>
      <c r="C99" s="24" t="s">
        <v>112</v>
      </c>
      <c r="D99" s="24" t="s">
        <v>113</v>
      </c>
      <c r="E99" s="24" t="s">
        <v>114</v>
      </c>
    </row>
    <row r="100" spans="1:5" x14ac:dyDescent="0.2">
      <c r="A100" s="21" t="s">
        <v>1211</v>
      </c>
      <c r="B100" s="4" t="s">
        <v>209</v>
      </c>
      <c r="C100" s="4" t="s">
        <v>121</v>
      </c>
      <c r="D100" s="4" t="s">
        <v>43</v>
      </c>
      <c r="E100" s="25" t="s">
        <v>1269</v>
      </c>
    </row>
    <row r="101" spans="1:5" x14ac:dyDescent="0.2">
      <c r="A101" s="21" t="s">
        <v>1193</v>
      </c>
      <c r="B101" s="4" t="s">
        <v>209</v>
      </c>
      <c r="C101" s="4" t="s">
        <v>131</v>
      </c>
      <c r="D101" s="4" t="s">
        <v>64</v>
      </c>
      <c r="E101" s="25" t="s">
        <v>1270</v>
      </c>
    </row>
    <row r="103" spans="1:5" ht="14.25" x14ac:dyDescent="0.2">
      <c r="A103" s="22"/>
      <c r="B103" s="23" t="s">
        <v>109</v>
      </c>
    </row>
    <row r="104" spans="1:5" ht="15" x14ac:dyDescent="0.2">
      <c r="A104" s="24" t="s">
        <v>110</v>
      </c>
      <c r="B104" s="24" t="s">
        <v>111</v>
      </c>
      <c r="C104" s="24" t="s">
        <v>112</v>
      </c>
      <c r="D104" s="24" t="s">
        <v>113</v>
      </c>
      <c r="E104" s="24" t="s">
        <v>114</v>
      </c>
    </row>
    <row r="105" spans="1:5" x14ac:dyDescent="0.2">
      <c r="A105" s="21" t="s">
        <v>1180</v>
      </c>
      <c r="B105" s="4" t="s">
        <v>109</v>
      </c>
      <c r="C105" s="4" t="s">
        <v>134</v>
      </c>
      <c r="D105" s="4" t="s">
        <v>246</v>
      </c>
      <c r="E105" s="25" t="s">
        <v>1271</v>
      </c>
    </row>
    <row r="106" spans="1:5" x14ac:dyDescent="0.2">
      <c r="A106" s="21" t="s">
        <v>879</v>
      </c>
      <c r="B106" s="4" t="s">
        <v>109</v>
      </c>
      <c r="C106" s="4" t="s">
        <v>134</v>
      </c>
      <c r="D106" s="4" t="s">
        <v>85</v>
      </c>
      <c r="E106" s="25" t="s">
        <v>1272</v>
      </c>
    </row>
    <row r="107" spans="1:5" x14ac:dyDescent="0.2">
      <c r="A107" s="21" t="s">
        <v>1216</v>
      </c>
      <c r="B107" s="4" t="s">
        <v>109</v>
      </c>
      <c r="C107" s="4" t="s">
        <v>121</v>
      </c>
      <c r="D107" s="4" t="s">
        <v>259</v>
      </c>
      <c r="E107" s="25" t="s">
        <v>1273</v>
      </c>
    </row>
    <row r="108" spans="1:5" x14ac:dyDescent="0.2">
      <c r="A108" s="21" t="s">
        <v>1220</v>
      </c>
      <c r="B108" s="4" t="s">
        <v>109</v>
      </c>
      <c r="C108" s="4" t="s">
        <v>121</v>
      </c>
      <c r="D108" s="4" t="s">
        <v>85</v>
      </c>
      <c r="E108" s="25" t="s">
        <v>1274</v>
      </c>
    </row>
    <row r="109" spans="1:5" x14ac:dyDescent="0.2">
      <c r="A109" s="21" t="s">
        <v>1167</v>
      </c>
      <c r="B109" s="4" t="s">
        <v>109</v>
      </c>
      <c r="C109" s="4" t="s">
        <v>115</v>
      </c>
      <c r="D109" s="4" t="s">
        <v>193</v>
      </c>
      <c r="E109" s="25" t="s">
        <v>1275</v>
      </c>
    </row>
    <row r="110" spans="1:5" x14ac:dyDescent="0.2">
      <c r="A110" s="21" t="s">
        <v>1244</v>
      </c>
      <c r="B110" s="4" t="s">
        <v>109</v>
      </c>
      <c r="C110" s="4" t="s">
        <v>124</v>
      </c>
      <c r="D110" s="4" t="s">
        <v>85</v>
      </c>
      <c r="E110" s="25" t="s">
        <v>1276</v>
      </c>
    </row>
    <row r="111" spans="1:5" x14ac:dyDescent="0.2">
      <c r="A111" s="21" t="s">
        <v>1171</v>
      </c>
      <c r="B111" s="4" t="s">
        <v>109</v>
      </c>
      <c r="C111" s="4" t="s">
        <v>115</v>
      </c>
      <c r="D111" s="4" t="s">
        <v>397</v>
      </c>
      <c r="E111" s="25" t="s">
        <v>1277</v>
      </c>
    </row>
    <row r="112" spans="1:5" x14ac:dyDescent="0.2">
      <c r="A112" s="21" t="s">
        <v>333</v>
      </c>
      <c r="B112" s="4" t="s">
        <v>109</v>
      </c>
      <c r="C112" s="4" t="s">
        <v>131</v>
      </c>
      <c r="D112" s="4" t="s">
        <v>337</v>
      </c>
      <c r="E112" s="25" t="s">
        <v>1278</v>
      </c>
    </row>
    <row r="113" spans="1:5" x14ac:dyDescent="0.2">
      <c r="A113" s="21" t="s">
        <v>1248</v>
      </c>
      <c r="B113" s="4" t="s">
        <v>109</v>
      </c>
      <c r="C113" s="4" t="s">
        <v>124</v>
      </c>
      <c r="D113" s="4" t="s">
        <v>143</v>
      </c>
      <c r="E113" s="25" t="s">
        <v>1279</v>
      </c>
    </row>
    <row r="114" spans="1:5" x14ac:dyDescent="0.2">
      <c r="A114" s="21" t="s">
        <v>1226</v>
      </c>
      <c r="B114" s="4" t="s">
        <v>109</v>
      </c>
      <c r="C114" s="4" t="s">
        <v>121</v>
      </c>
      <c r="D114" s="4" t="s">
        <v>186</v>
      </c>
      <c r="E114" s="25" t="s">
        <v>1280</v>
      </c>
    </row>
    <row r="115" spans="1:5" x14ac:dyDescent="0.2">
      <c r="A115" s="21" t="s">
        <v>1198</v>
      </c>
      <c r="B115" s="4" t="s">
        <v>109</v>
      </c>
      <c r="C115" s="4" t="s">
        <v>131</v>
      </c>
      <c r="D115" s="4" t="s">
        <v>43</v>
      </c>
      <c r="E115" s="25" t="s">
        <v>1281</v>
      </c>
    </row>
    <row r="116" spans="1:5" x14ac:dyDescent="0.2">
      <c r="A116" s="21" t="s">
        <v>855</v>
      </c>
      <c r="B116" s="4" t="s">
        <v>109</v>
      </c>
      <c r="C116" s="4" t="s">
        <v>115</v>
      </c>
      <c r="D116" s="4" t="s">
        <v>28</v>
      </c>
      <c r="E116" s="25" t="s">
        <v>1282</v>
      </c>
    </row>
    <row r="117" spans="1:5" x14ac:dyDescent="0.2">
      <c r="A117" s="21" t="s">
        <v>509</v>
      </c>
      <c r="B117" s="4" t="s">
        <v>109</v>
      </c>
      <c r="C117" s="4" t="s">
        <v>134</v>
      </c>
      <c r="D117" s="4" t="s">
        <v>88</v>
      </c>
      <c r="E117" s="25" t="s">
        <v>1283</v>
      </c>
    </row>
    <row r="118" spans="1:5" x14ac:dyDescent="0.2">
      <c r="A118" s="21" t="s">
        <v>1203</v>
      </c>
      <c r="B118" s="4" t="s">
        <v>109</v>
      </c>
      <c r="C118" s="4" t="s">
        <v>131</v>
      </c>
      <c r="D118" s="4" t="s">
        <v>28</v>
      </c>
      <c r="E118" s="25" t="s">
        <v>1284</v>
      </c>
    </row>
    <row r="119" spans="1:5" x14ac:dyDescent="0.2">
      <c r="A119" s="21" t="s">
        <v>1176</v>
      </c>
      <c r="B119" s="4" t="s">
        <v>109</v>
      </c>
      <c r="C119" s="4" t="s">
        <v>115</v>
      </c>
      <c r="D119" s="4" t="s">
        <v>67</v>
      </c>
      <c r="E119" s="25" t="s">
        <v>1285</v>
      </c>
    </row>
    <row r="121" spans="1:5" ht="14.25" x14ac:dyDescent="0.2">
      <c r="A121" s="22"/>
      <c r="B121" s="23" t="s">
        <v>227</v>
      </c>
    </row>
    <row r="122" spans="1:5" ht="15" x14ac:dyDescent="0.2">
      <c r="A122" s="24" t="s">
        <v>110</v>
      </c>
      <c r="B122" s="24" t="s">
        <v>111</v>
      </c>
      <c r="C122" s="24" t="s">
        <v>112</v>
      </c>
      <c r="D122" s="24" t="s">
        <v>113</v>
      </c>
      <c r="E122" s="24" t="s">
        <v>114</v>
      </c>
    </row>
    <row r="123" spans="1:5" x14ac:dyDescent="0.2">
      <c r="A123" s="21" t="s">
        <v>1253</v>
      </c>
      <c r="B123" s="4" t="s">
        <v>228</v>
      </c>
      <c r="C123" s="4" t="s">
        <v>1036</v>
      </c>
      <c r="D123" s="4" t="s">
        <v>1257</v>
      </c>
      <c r="E123" s="25" t="s">
        <v>1286</v>
      </c>
    </row>
    <row r="124" spans="1:5" x14ac:dyDescent="0.2">
      <c r="A124" s="21" t="s">
        <v>1186</v>
      </c>
      <c r="B124" s="4" t="s">
        <v>399</v>
      </c>
      <c r="C124" s="4" t="s">
        <v>134</v>
      </c>
      <c r="D124" s="4" t="s">
        <v>43</v>
      </c>
      <c r="E124" s="25" t="s">
        <v>1287</v>
      </c>
    </row>
    <row r="125" spans="1:5" x14ac:dyDescent="0.2">
      <c r="A125" s="21" t="s">
        <v>1233</v>
      </c>
      <c r="B125" s="4" t="s">
        <v>399</v>
      </c>
      <c r="C125" s="4" t="s">
        <v>121</v>
      </c>
      <c r="D125" s="4" t="s">
        <v>52</v>
      </c>
      <c r="E125" s="25" t="s">
        <v>1288</v>
      </c>
    </row>
    <row r="126" spans="1:5" x14ac:dyDescent="0.2">
      <c r="A126" s="21" t="s">
        <v>333</v>
      </c>
      <c r="B126" s="4" t="s">
        <v>228</v>
      </c>
      <c r="C126" s="4" t="s">
        <v>131</v>
      </c>
      <c r="D126" s="4" t="s">
        <v>337</v>
      </c>
      <c r="E126" s="25" t="s">
        <v>1289</v>
      </c>
    </row>
    <row r="127" spans="1:5" x14ac:dyDescent="0.2">
      <c r="A127" s="21" t="s">
        <v>1226</v>
      </c>
      <c r="B127" s="4" t="s">
        <v>228</v>
      </c>
      <c r="C127" s="4" t="s">
        <v>121</v>
      </c>
      <c r="D127" s="4" t="s">
        <v>186</v>
      </c>
      <c r="E127" s="25" t="s">
        <v>1290</v>
      </c>
    </row>
    <row r="128" spans="1:5" x14ac:dyDescent="0.2">
      <c r="A128" s="21" t="s">
        <v>1237</v>
      </c>
      <c r="B128" s="4" t="s">
        <v>399</v>
      </c>
      <c r="C128" s="4" t="s">
        <v>121</v>
      </c>
      <c r="D128" s="4" t="s">
        <v>157</v>
      </c>
      <c r="E128" s="25" t="s">
        <v>1291</v>
      </c>
    </row>
    <row r="129" spans="1:5" x14ac:dyDescent="0.2">
      <c r="A129" s="21" t="s">
        <v>1241</v>
      </c>
      <c r="B129" s="4" t="s">
        <v>399</v>
      </c>
      <c r="C129" s="4" t="s">
        <v>121</v>
      </c>
      <c r="D129" s="4" t="s">
        <v>42</v>
      </c>
      <c r="E129" s="25" t="s">
        <v>1292</v>
      </c>
    </row>
  </sheetData>
  <mergeCells count="21">
    <mergeCell ref="A58:L58"/>
    <mergeCell ref="A19:L19"/>
    <mergeCell ref="A22:L22"/>
    <mergeCell ref="A29:L29"/>
    <mergeCell ref="A35:L35"/>
    <mergeCell ref="A44:L44"/>
    <mergeCell ref="A54:L54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5.140625" style="4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7" width="8.42578125" style="3" customWidth="1"/>
    <col min="8" max="8" width="11" style="31" customWidth="1"/>
    <col min="9" max="9" width="9.42578125" style="4" customWidth="1"/>
    <col min="10" max="10" width="9.5703125" style="3" bestFit="1" customWidth="1"/>
    <col min="11" max="11" width="24.5703125" style="4" bestFit="1" customWidth="1"/>
    <col min="12" max="16384" width="9.140625" style="3"/>
  </cols>
  <sheetData>
    <row r="1" spans="1:11" s="2" customFormat="1" ht="29.1" customHeight="1" x14ac:dyDescent="0.2">
      <c r="A1" s="39" t="s">
        <v>1581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1430</v>
      </c>
      <c r="E3" s="37" t="s">
        <v>4</v>
      </c>
      <c r="F3" s="37" t="s">
        <v>8</v>
      </c>
      <c r="G3" s="37" t="s">
        <v>1431</v>
      </c>
      <c r="H3" s="37"/>
      <c r="I3" s="37" t="s">
        <v>1432</v>
      </c>
      <c r="J3" s="37" t="s">
        <v>3</v>
      </c>
      <c r="K3" s="48" t="s">
        <v>2</v>
      </c>
    </row>
    <row r="4" spans="1:11" s="1" customFormat="1" ht="21" customHeight="1" thickBot="1" x14ac:dyDescent="0.25">
      <c r="A4" s="46"/>
      <c r="B4" s="38"/>
      <c r="C4" s="38"/>
      <c r="D4" s="38"/>
      <c r="E4" s="38"/>
      <c r="F4" s="38"/>
      <c r="G4" s="26" t="s">
        <v>1433</v>
      </c>
      <c r="H4" s="29" t="s">
        <v>1434</v>
      </c>
      <c r="I4" s="38"/>
      <c r="J4" s="38"/>
      <c r="K4" s="49"/>
    </row>
    <row r="5" spans="1:11" ht="15" x14ac:dyDescent="0.2">
      <c r="A5" s="36" t="s">
        <v>428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">
      <c r="A6" s="6" t="s">
        <v>1442</v>
      </c>
      <c r="B6" s="6" t="s">
        <v>1443</v>
      </c>
      <c r="C6" s="6" t="s">
        <v>1444</v>
      </c>
      <c r="D6" s="6" t="str">
        <f>"1,2894"</f>
        <v>1,2894</v>
      </c>
      <c r="E6" s="6" t="s">
        <v>18</v>
      </c>
      <c r="F6" s="6" t="s">
        <v>36</v>
      </c>
      <c r="G6" s="7" t="s">
        <v>295</v>
      </c>
      <c r="H6" s="30" t="s">
        <v>448</v>
      </c>
      <c r="I6" s="6" t="str">
        <f>"1275,0"</f>
        <v>1275,0</v>
      </c>
      <c r="J6" s="7" t="str">
        <f>"1643,9850"</f>
        <v>1643,9850</v>
      </c>
      <c r="K6" s="6" t="s">
        <v>144</v>
      </c>
    </row>
    <row r="8" spans="1:11" ht="15" x14ac:dyDescent="0.2">
      <c r="A8" s="35" t="s">
        <v>137</v>
      </c>
      <c r="B8" s="35"/>
      <c r="C8" s="35"/>
      <c r="D8" s="35"/>
      <c r="E8" s="35"/>
      <c r="F8" s="35"/>
      <c r="G8" s="35"/>
      <c r="H8" s="35"/>
      <c r="I8" s="35"/>
      <c r="J8" s="35"/>
    </row>
    <row r="9" spans="1:11" x14ac:dyDescent="0.2">
      <c r="A9" s="9" t="s">
        <v>1445</v>
      </c>
      <c r="B9" s="9" t="s">
        <v>1446</v>
      </c>
      <c r="C9" s="9" t="s">
        <v>1447</v>
      </c>
      <c r="D9" s="9" t="str">
        <f>"0,7874"</f>
        <v>0,7874</v>
      </c>
      <c r="E9" s="9" t="s">
        <v>18</v>
      </c>
      <c r="F9" s="9" t="s">
        <v>1448</v>
      </c>
      <c r="G9" s="10" t="s">
        <v>824</v>
      </c>
      <c r="H9" s="32" t="s">
        <v>1449</v>
      </c>
      <c r="I9" s="9" t="str">
        <f>"7670,0"</f>
        <v>7670,0</v>
      </c>
      <c r="J9" s="10" t="str">
        <f>"6039,3581"</f>
        <v>6039,3581</v>
      </c>
      <c r="K9" s="9" t="s">
        <v>1450</v>
      </c>
    </row>
    <row r="10" spans="1:11" x14ac:dyDescent="0.2">
      <c r="A10" s="14" t="s">
        <v>1445</v>
      </c>
      <c r="B10" s="14" t="s">
        <v>1451</v>
      </c>
      <c r="C10" s="14" t="s">
        <v>1447</v>
      </c>
      <c r="D10" s="14" t="str">
        <f>"0,7874"</f>
        <v>0,7874</v>
      </c>
      <c r="E10" s="14" t="s">
        <v>18</v>
      </c>
      <c r="F10" s="14" t="s">
        <v>1448</v>
      </c>
      <c r="G10" s="15" t="s">
        <v>824</v>
      </c>
      <c r="H10" s="33" t="s">
        <v>1449</v>
      </c>
      <c r="I10" s="14" t="str">
        <f>"7670,0"</f>
        <v>7670,0</v>
      </c>
      <c r="J10" s="15" t="str">
        <f>"6039,3581"</f>
        <v>6039,3581</v>
      </c>
      <c r="K10" s="14" t="s">
        <v>1450</v>
      </c>
    </row>
    <row r="11" spans="1:11" x14ac:dyDescent="0.2">
      <c r="A11" s="12" t="s">
        <v>1452</v>
      </c>
      <c r="B11" s="12" t="s">
        <v>1453</v>
      </c>
      <c r="C11" s="12" t="s">
        <v>301</v>
      </c>
      <c r="D11" s="12" t="str">
        <f>"0,7786"</f>
        <v>0,7786</v>
      </c>
      <c r="E11" s="12" t="s">
        <v>35</v>
      </c>
      <c r="F11" s="12" t="s">
        <v>280</v>
      </c>
      <c r="G11" s="17" t="s">
        <v>824</v>
      </c>
      <c r="H11" s="34" t="s">
        <v>1454</v>
      </c>
      <c r="I11" s="12" t="str">
        <f>"2470,0"</f>
        <v>2470,0</v>
      </c>
      <c r="J11" s="17" t="str">
        <f>"1942,3734"</f>
        <v>1942,3734</v>
      </c>
      <c r="K11" s="12" t="s">
        <v>169</v>
      </c>
    </row>
    <row r="13" spans="1:11" ht="15" x14ac:dyDescent="0.2">
      <c r="A13" s="35" t="s">
        <v>13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1" x14ac:dyDescent="0.2">
      <c r="A14" s="9" t="s">
        <v>1455</v>
      </c>
      <c r="B14" s="9" t="s">
        <v>1456</v>
      </c>
      <c r="C14" s="9" t="s">
        <v>1457</v>
      </c>
      <c r="D14" s="9" t="str">
        <f>"0,7117"</f>
        <v>0,7117</v>
      </c>
      <c r="E14" s="9" t="s">
        <v>18</v>
      </c>
      <c r="F14" s="9" t="s">
        <v>36</v>
      </c>
      <c r="G14" s="10" t="s">
        <v>434</v>
      </c>
      <c r="H14" s="32" t="s">
        <v>1458</v>
      </c>
      <c r="I14" s="9" t="str">
        <f>"3480,0"</f>
        <v>3480,0</v>
      </c>
      <c r="J14" s="10" t="str">
        <f>"2476,7161"</f>
        <v>2476,7161</v>
      </c>
      <c r="K14" s="9" t="s">
        <v>1459</v>
      </c>
    </row>
    <row r="15" spans="1:11" x14ac:dyDescent="0.2">
      <c r="A15" s="14" t="s">
        <v>1460</v>
      </c>
      <c r="B15" s="14" t="s">
        <v>1461</v>
      </c>
      <c r="C15" s="14" t="s">
        <v>1462</v>
      </c>
      <c r="D15" s="14" t="str">
        <f>"0,7271"</f>
        <v>0,7271</v>
      </c>
      <c r="E15" s="14" t="s">
        <v>18</v>
      </c>
      <c r="F15" s="14" t="s">
        <v>1463</v>
      </c>
      <c r="G15" s="15" t="s">
        <v>292</v>
      </c>
      <c r="H15" s="33" t="s">
        <v>1464</v>
      </c>
      <c r="I15" s="14" t="str">
        <f>"2940,0"</f>
        <v>2940,0</v>
      </c>
      <c r="J15" s="15" t="str">
        <f>"2137,6740"</f>
        <v>2137,6740</v>
      </c>
      <c r="K15" s="14" t="s">
        <v>144</v>
      </c>
    </row>
    <row r="16" spans="1:11" x14ac:dyDescent="0.2">
      <c r="A16" s="12" t="s">
        <v>1465</v>
      </c>
      <c r="B16" s="12" t="s">
        <v>1466</v>
      </c>
      <c r="C16" s="12" t="s">
        <v>1467</v>
      </c>
      <c r="D16" s="12" t="str">
        <f>"0,7297"</f>
        <v>0,7297</v>
      </c>
      <c r="E16" s="12" t="s">
        <v>35</v>
      </c>
      <c r="F16" s="12" t="s">
        <v>1448</v>
      </c>
      <c r="G16" s="17" t="s">
        <v>292</v>
      </c>
      <c r="H16" s="34" t="s">
        <v>1468</v>
      </c>
      <c r="I16" s="12" t="str">
        <f>"1820,0"</f>
        <v>1820,0</v>
      </c>
      <c r="J16" s="17" t="str">
        <f>"1327,9630"</f>
        <v>1327,9630</v>
      </c>
      <c r="K16" s="12" t="s">
        <v>80</v>
      </c>
    </row>
    <row r="18" spans="1:11" ht="15" x14ac:dyDescent="0.2">
      <c r="A18" s="35" t="s">
        <v>30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1" x14ac:dyDescent="0.2">
      <c r="A19" s="9" t="s">
        <v>1469</v>
      </c>
      <c r="B19" s="9" t="s">
        <v>1470</v>
      </c>
      <c r="C19" s="9" t="s">
        <v>890</v>
      </c>
      <c r="D19" s="9" t="str">
        <f>"0,6446"</f>
        <v>0,6446</v>
      </c>
      <c r="E19" s="9" t="s">
        <v>35</v>
      </c>
      <c r="F19" s="9" t="s">
        <v>343</v>
      </c>
      <c r="G19" s="10" t="s">
        <v>23</v>
      </c>
      <c r="H19" s="32" t="s">
        <v>1471</v>
      </c>
      <c r="I19" s="9" t="str">
        <f>"2640,0"</f>
        <v>2640,0</v>
      </c>
      <c r="J19" s="10" t="str">
        <f>"1701,7439"</f>
        <v>1701,7439</v>
      </c>
      <c r="K19" s="9" t="s">
        <v>169</v>
      </c>
    </row>
    <row r="20" spans="1:11" x14ac:dyDescent="0.2">
      <c r="A20" s="14" t="s">
        <v>1472</v>
      </c>
      <c r="B20" s="14" t="s">
        <v>1473</v>
      </c>
      <c r="C20" s="14" t="s">
        <v>1474</v>
      </c>
      <c r="D20" s="14" t="str">
        <f>"0,6805"</f>
        <v>0,6805</v>
      </c>
      <c r="E20" s="14" t="s">
        <v>18</v>
      </c>
      <c r="F20" s="14" t="s">
        <v>36</v>
      </c>
      <c r="G20" s="15" t="s">
        <v>474</v>
      </c>
      <c r="H20" s="33" t="s">
        <v>448</v>
      </c>
      <c r="I20" s="14" t="str">
        <f>"2325,0"</f>
        <v>2325,0</v>
      </c>
      <c r="J20" s="15" t="str">
        <f>"1631,3293"</f>
        <v>1631,3293</v>
      </c>
      <c r="K20" s="14" t="s">
        <v>1475</v>
      </c>
    </row>
    <row r="21" spans="1:11" x14ac:dyDescent="0.2">
      <c r="A21" s="12" t="s">
        <v>1476</v>
      </c>
      <c r="B21" s="12" t="s">
        <v>1477</v>
      </c>
      <c r="C21" s="12" t="s">
        <v>1478</v>
      </c>
      <c r="D21" s="12" t="str">
        <f>"0,6793"</f>
        <v>0,6793</v>
      </c>
      <c r="E21" s="12" t="s">
        <v>18</v>
      </c>
      <c r="F21" s="12" t="s">
        <v>1463</v>
      </c>
      <c r="G21" s="17" t="s">
        <v>474</v>
      </c>
      <c r="H21" s="34" t="s">
        <v>1479</v>
      </c>
      <c r="I21" s="12" t="str">
        <f>"2247,5"</f>
        <v>2247,5</v>
      </c>
      <c r="J21" s="17" t="str">
        <f>"1725,2013"</f>
        <v>1725,2013</v>
      </c>
      <c r="K21" s="12" t="s">
        <v>1480</v>
      </c>
    </row>
    <row r="23" spans="1:11" ht="15" x14ac:dyDescent="0.2">
      <c r="A23" s="35" t="s">
        <v>46</v>
      </c>
      <c r="B23" s="35"/>
      <c r="C23" s="35"/>
      <c r="D23" s="35"/>
      <c r="E23" s="35"/>
      <c r="F23" s="35"/>
      <c r="G23" s="35"/>
      <c r="H23" s="35"/>
      <c r="I23" s="35"/>
      <c r="J23" s="35"/>
    </row>
    <row r="24" spans="1:11" x14ac:dyDescent="0.2">
      <c r="A24" s="9" t="s">
        <v>1481</v>
      </c>
      <c r="B24" s="9" t="s">
        <v>1482</v>
      </c>
      <c r="C24" s="9" t="s">
        <v>317</v>
      </c>
      <c r="D24" s="9" t="str">
        <f>"0,6396"</f>
        <v>0,6396</v>
      </c>
      <c r="E24" s="9" t="s">
        <v>18</v>
      </c>
      <c r="F24" s="9" t="s">
        <v>819</v>
      </c>
      <c r="G24" s="10" t="s">
        <v>24</v>
      </c>
      <c r="H24" s="32" t="s">
        <v>1483</v>
      </c>
      <c r="I24" s="9" t="str">
        <f>"2805,0"</f>
        <v>2805,0</v>
      </c>
      <c r="J24" s="10" t="str">
        <f>"1794,2182"</f>
        <v>1794,2182</v>
      </c>
      <c r="K24" s="9" t="s">
        <v>1484</v>
      </c>
    </row>
    <row r="25" spans="1:11" x14ac:dyDescent="0.2">
      <c r="A25" s="14" t="s">
        <v>1485</v>
      </c>
      <c r="B25" s="14" t="s">
        <v>1486</v>
      </c>
      <c r="C25" s="14" t="s">
        <v>669</v>
      </c>
      <c r="D25" s="14" t="str">
        <f>"0,6157"</f>
        <v>0,6157</v>
      </c>
      <c r="E25" s="14" t="s">
        <v>18</v>
      </c>
      <c r="F25" s="14" t="s">
        <v>36</v>
      </c>
      <c r="G25" s="15" t="s">
        <v>297</v>
      </c>
      <c r="H25" s="33" t="s">
        <v>1487</v>
      </c>
      <c r="I25" s="14" t="str">
        <f>"2520,0"</f>
        <v>2520,0</v>
      </c>
      <c r="J25" s="15" t="str">
        <f>"1551,5640"</f>
        <v>1551,5640</v>
      </c>
      <c r="K25" s="14" t="s">
        <v>1488</v>
      </c>
    </row>
    <row r="26" spans="1:11" x14ac:dyDescent="0.2">
      <c r="A26" s="14" t="s">
        <v>917</v>
      </c>
      <c r="B26" s="14" t="s">
        <v>918</v>
      </c>
      <c r="C26" s="14" t="s">
        <v>919</v>
      </c>
      <c r="D26" s="14" t="str">
        <f>"0,6141"</f>
        <v>0,6141</v>
      </c>
      <c r="E26" s="14" t="s">
        <v>18</v>
      </c>
      <c r="F26" s="14" t="s">
        <v>723</v>
      </c>
      <c r="G26" s="15" t="s">
        <v>297</v>
      </c>
      <c r="H26" s="33" t="s">
        <v>1489</v>
      </c>
      <c r="I26" s="14" t="str">
        <f>"1440,0"</f>
        <v>1440,0</v>
      </c>
      <c r="J26" s="15" t="str">
        <f>"884,3760"</f>
        <v>884,3760</v>
      </c>
      <c r="K26" s="14" t="s">
        <v>18</v>
      </c>
    </row>
    <row r="27" spans="1:11" x14ac:dyDescent="0.2">
      <c r="A27" s="12" t="s">
        <v>1490</v>
      </c>
      <c r="B27" s="12" t="s">
        <v>1491</v>
      </c>
      <c r="C27" s="12" t="s">
        <v>1492</v>
      </c>
      <c r="D27" s="12" t="str">
        <f>"0,6354"</f>
        <v>0,6354</v>
      </c>
      <c r="E27" s="12" t="s">
        <v>18</v>
      </c>
      <c r="F27" s="12" t="s">
        <v>36</v>
      </c>
      <c r="G27" s="17" t="s">
        <v>24</v>
      </c>
      <c r="H27" s="34" t="s">
        <v>1493</v>
      </c>
      <c r="I27" s="12" t="str">
        <f>"1530,0"</f>
        <v>1530,0</v>
      </c>
      <c r="J27" s="17" t="str">
        <f>"1151,0398"</f>
        <v>1151,0398</v>
      </c>
      <c r="K27" s="12" t="s">
        <v>1494</v>
      </c>
    </row>
    <row r="29" spans="1:11" ht="15" x14ac:dyDescent="0.2">
      <c r="E29" s="18" t="s">
        <v>102</v>
      </c>
    </row>
    <row r="30" spans="1:11" ht="15" x14ac:dyDescent="0.2">
      <c r="E30" s="18" t="s">
        <v>103</v>
      </c>
    </row>
    <row r="31" spans="1:11" ht="15" x14ac:dyDescent="0.2">
      <c r="E31" s="18" t="s">
        <v>104</v>
      </c>
    </row>
    <row r="32" spans="1:11" ht="15" x14ac:dyDescent="0.2">
      <c r="E32" s="18" t="s">
        <v>105</v>
      </c>
    </row>
    <row r="33" spans="1:5" ht="15" x14ac:dyDescent="0.2">
      <c r="E33" s="18" t="s">
        <v>105</v>
      </c>
    </row>
    <row r="34" spans="1:5" ht="15" x14ac:dyDescent="0.2">
      <c r="E34" s="18" t="s">
        <v>106</v>
      </c>
    </row>
    <row r="35" spans="1:5" ht="15" x14ac:dyDescent="0.2">
      <c r="E35" s="18"/>
    </row>
    <row r="37" spans="1:5" ht="18" x14ac:dyDescent="0.25">
      <c r="A37" s="19" t="s">
        <v>107</v>
      </c>
      <c r="B37" s="19"/>
    </row>
    <row r="38" spans="1:5" ht="15" x14ac:dyDescent="0.2">
      <c r="A38" s="20" t="s">
        <v>108</v>
      </c>
      <c r="B38" s="20"/>
    </row>
    <row r="39" spans="1:5" ht="14.25" x14ac:dyDescent="0.2">
      <c r="A39" s="22"/>
      <c r="B39" s="23" t="s">
        <v>109</v>
      </c>
    </row>
    <row r="40" spans="1:5" ht="15" x14ac:dyDescent="0.2">
      <c r="A40" s="24" t="s">
        <v>110</v>
      </c>
      <c r="B40" s="24" t="s">
        <v>111</v>
      </c>
      <c r="C40" s="24" t="s">
        <v>112</v>
      </c>
      <c r="D40" s="24" t="s">
        <v>113</v>
      </c>
      <c r="E40" s="24" t="s">
        <v>1438</v>
      </c>
    </row>
    <row r="41" spans="1:5" x14ac:dyDescent="0.2">
      <c r="A41" s="21" t="s">
        <v>1495</v>
      </c>
      <c r="B41" s="4" t="s">
        <v>109</v>
      </c>
      <c r="C41" s="4" t="s">
        <v>564</v>
      </c>
      <c r="D41" s="4" t="s">
        <v>1496</v>
      </c>
      <c r="E41" s="25" t="s">
        <v>1497</v>
      </c>
    </row>
    <row r="44" spans="1:5" ht="15" x14ac:dyDescent="0.2">
      <c r="A44" s="20" t="s">
        <v>118</v>
      </c>
      <c r="B44" s="20"/>
    </row>
    <row r="45" spans="1:5" ht="14.25" x14ac:dyDescent="0.2">
      <c r="A45" s="22"/>
      <c r="B45" s="23" t="s">
        <v>208</v>
      </c>
    </row>
    <row r="46" spans="1:5" ht="15" x14ac:dyDescent="0.2">
      <c r="A46" s="24" t="s">
        <v>110</v>
      </c>
      <c r="B46" s="24" t="s">
        <v>111</v>
      </c>
      <c r="C46" s="24" t="s">
        <v>112</v>
      </c>
      <c r="D46" s="24" t="s">
        <v>113</v>
      </c>
      <c r="E46" s="24" t="s">
        <v>1438</v>
      </c>
    </row>
    <row r="47" spans="1:5" x14ac:dyDescent="0.2">
      <c r="A47" s="21" t="s">
        <v>1498</v>
      </c>
      <c r="B47" s="4" t="s">
        <v>209</v>
      </c>
      <c r="C47" s="4" t="s">
        <v>131</v>
      </c>
      <c r="D47" s="4" t="s">
        <v>1499</v>
      </c>
      <c r="E47" s="25" t="s">
        <v>1500</v>
      </c>
    </row>
    <row r="49" spans="1:5" ht="14.25" x14ac:dyDescent="0.2">
      <c r="A49" s="22"/>
      <c r="B49" s="23" t="s">
        <v>109</v>
      </c>
    </row>
    <row r="50" spans="1:5" ht="15" x14ac:dyDescent="0.2">
      <c r="A50" s="24" t="s">
        <v>110</v>
      </c>
      <c r="B50" s="24" t="s">
        <v>111</v>
      </c>
      <c r="C50" s="24" t="s">
        <v>112</v>
      </c>
      <c r="D50" s="24" t="s">
        <v>113</v>
      </c>
      <c r="E50" s="24" t="s">
        <v>1438</v>
      </c>
    </row>
    <row r="51" spans="1:5" x14ac:dyDescent="0.2">
      <c r="A51" s="21" t="s">
        <v>1501</v>
      </c>
      <c r="B51" s="4" t="s">
        <v>109</v>
      </c>
      <c r="C51" s="4" t="s">
        <v>212</v>
      </c>
      <c r="D51" s="4" t="s">
        <v>1502</v>
      </c>
      <c r="E51" s="25" t="s">
        <v>1503</v>
      </c>
    </row>
    <row r="52" spans="1:5" x14ac:dyDescent="0.2">
      <c r="A52" s="21" t="s">
        <v>1504</v>
      </c>
      <c r="B52" s="4" t="s">
        <v>109</v>
      </c>
      <c r="C52" s="4" t="s">
        <v>115</v>
      </c>
      <c r="D52" s="4" t="s">
        <v>1505</v>
      </c>
      <c r="E52" s="25" t="s">
        <v>1506</v>
      </c>
    </row>
    <row r="53" spans="1:5" x14ac:dyDescent="0.2">
      <c r="A53" s="21" t="s">
        <v>1507</v>
      </c>
      <c r="B53" s="4" t="s">
        <v>109</v>
      </c>
      <c r="C53" s="4" t="s">
        <v>115</v>
      </c>
      <c r="D53" s="4" t="s">
        <v>1508</v>
      </c>
      <c r="E53" s="25" t="s">
        <v>1509</v>
      </c>
    </row>
    <row r="54" spans="1:5" x14ac:dyDescent="0.2">
      <c r="A54" s="21" t="s">
        <v>1510</v>
      </c>
      <c r="B54" s="4" t="s">
        <v>109</v>
      </c>
      <c r="C54" s="4" t="s">
        <v>134</v>
      </c>
      <c r="D54" s="4" t="s">
        <v>1511</v>
      </c>
      <c r="E54" s="25" t="s">
        <v>1512</v>
      </c>
    </row>
    <row r="55" spans="1:5" x14ac:dyDescent="0.2">
      <c r="A55" s="21" t="s">
        <v>1513</v>
      </c>
      <c r="B55" s="4" t="s">
        <v>109</v>
      </c>
      <c r="C55" s="4" t="s">
        <v>131</v>
      </c>
      <c r="D55" s="4" t="s">
        <v>1514</v>
      </c>
      <c r="E55" s="25" t="s">
        <v>1515</v>
      </c>
    </row>
    <row r="56" spans="1:5" x14ac:dyDescent="0.2">
      <c r="A56" s="21" t="s">
        <v>1516</v>
      </c>
      <c r="B56" s="4" t="s">
        <v>109</v>
      </c>
      <c r="C56" s="4" t="s">
        <v>115</v>
      </c>
      <c r="D56" s="4" t="s">
        <v>1517</v>
      </c>
      <c r="E56" s="25" t="s">
        <v>1518</v>
      </c>
    </row>
    <row r="57" spans="1:5" x14ac:dyDescent="0.2">
      <c r="A57" s="21" t="s">
        <v>916</v>
      </c>
      <c r="B57" s="4" t="s">
        <v>109</v>
      </c>
      <c r="C57" s="4" t="s">
        <v>131</v>
      </c>
      <c r="D57" s="4" t="s">
        <v>1519</v>
      </c>
      <c r="E57" s="25" t="s">
        <v>1520</v>
      </c>
    </row>
    <row r="59" spans="1:5" ht="14.25" x14ac:dyDescent="0.2">
      <c r="A59" s="22"/>
      <c r="B59" s="23" t="s">
        <v>1521</v>
      </c>
    </row>
    <row r="60" spans="1:5" ht="15" x14ac:dyDescent="0.2">
      <c r="A60" s="24" t="s">
        <v>110</v>
      </c>
      <c r="B60" s="24" t="s">
        <v>111</v>
      </c>
      <c r="C60" s="24" t="s">
        <v>112</v>
      </c>
      <c r="D60" s="24" t="s">
        <v>113</v>
      </c>
      <c r="E60" s="24" t="s">
        <v>1438</v>
      </c>
    </row>
    <row r="61" spans="1:5" x14ac:dyDescent="0.2">
      <c r="A61" s="21" t="s">
        <v>1501</v>
      </c>
      <c r="B61" s="4" t="s">
        <v>1522</v>
      </c>
      <c r="C61" s="4" t="s">
        <v>212</v>
      </c>
      <c r="D61" s="4" t="s">
        <v>1502</v>
      </c>
      <c r="E61" s="25" t="s">
        <v>1503</v>
      </c>
    </row>
    <row r="62" spans="1:5" x14ac:dyDescent="0.2">
      <c r="A62" s="21" t="s">
        <v>1523</v>
      </c>
      <c r="B62" s="4" t="s">
        <v>1522</v>
      </c>
      <c r="C62" s="4" t="s">
        <v>212</v>
      </c>
      <c r="D62" s="4" t="s">
        <v>1524</v>
      </c>
      <c r="E62" s="25" t="s">
        <v>1525</v>
      </c>
    </row>
    <row r="63" spans="1:5" x14ac:dyDescent="0.2">
      <c r="A63" s="21" t="s">
        <v>1526</v>
      </c>
      <c r="B63" s="4" t="s">
        <v>1527</v>
      </c>
      <c r="C63" s="4" t="s">
        <v>134</v>
      </c>
      <c r="D63" s="4" t="s">
        <v>1528</v>
      </c>
      <c r="E63" s="25" t="s">
        <v>1529</v>
      </c>
    </row>
    <row r="64" spans="1:5" x14ac:dyDescent="0.2">
      <c r="A64" s="21" t="s">
        <v>1530</v>
      </c>
      <c r="B64" s="4" t="s">
        <v>1522</v>
      </c>
      <c r="C64" s="4" t="s">
        <v>134</v>
      </c>
      <c r="D64" s="4" t="s">
        <v>1531</v>
      </c>
      <c r="E64" s="25" t="s">
        <v>1532</v>
      </c>
    </row>
    <row r="65" spans="1:5" x14ac:dyDescent="0.2">
      <c r="A65" s="21" t="s">
        <v>1533</v>
      </c>
      <c r="B65" s="4" t="s">
        <v>1527</v>
      </c>
      <c r="C65" s="4" t="s">
        <v>131</v>
      </c>
      <c r="D65" s="4" t="s">
        <v>1534</v>
      </c>
      <c r="E65" s="25" t="s">
        <v>1535</v>
      </c>
    </row>
  </sheetData>
  <mergeCells count="16">
    <mergeCell ref="A23:J23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  <mergeCell ref="A5:J5"/>
    <mergeCell ref="A8:J8"/>
    <mergeCell ref="A13:J13"/>
    <mergeCell ref="A18:J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6.85546875" style="4" customWidth="1"/>
    <col min="4" max="4" width="8.42578125" style="4" bestFit="1" customWidth="1"/>
    <col min="5" max="5" width="22.7109375" style="4" bestFit="1" customWidth="1"/>
    <col min="6" max="6" width="32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3.140625" style="4" bestFit="1" customWidth="1"/>
    <col min="22" max="16384" width="9.140625" style="3"/>
  </cols>
  <sheetData>
    <row r="1" spans="1:21" s="2" customFormat="1" ht="29.1" customHeight="1" x14ac:dyDescent="0.2">
      <c r="A1" s="39" t="s">
        <v>1575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10</v>
      </c>
      <c r="H3" s="37"/>
      <c r="I3" s="37"/>
      <c r="J3" s="37"/>
      <c r="K3" s="37" t="s">
        <v>11</v>
      </c>
      <c r="L3" s="37"/>
      <c r="M3" s="37"/>
      <c r="N3" s="37"/>
      <c r="O3" s="37" t="s">
        <v>12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" x14ac:dyDescent="0.2">
      <c r="A5" s="36" t="s">
        <v>58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242</v>
      </c>
      <c r="B6" s="6" t="s">
        <v>243</v>
      </c>
      <c r="C6" s="6" t="s">
        <v>244</v>
      </c>
      <c r="D6" s="6" t="str">
        <f>"0,6169"</f>
        <v>0,6169</v>
      </c>
      <c r="E6" s="6" t="s">
        <v>18</v>
      </c>
      <c r="F6" s="6" t="s">
        <v>245</v>
      </c>
      <c r="G6" s="7" t="s">
        <v>246</v>
      </c>
      <c r="H6" s="8" t="s">
        <v>247</v>
      </c>
      <c r="I6" s="7" t="s">
        <v>87</v>
      </c>
      <c r="J6" s="8"/>
      <c r="K6" s="7" t="s">
        <v>248</v>
      </c>
      <c r="L6" s="7" t="s">
        <v>249</v>
      </c>
      <c r="M6" s="7" t="s">
        <v>149</v>
      </c>
      <c r="N6" s="8"/>
      <c r="O6" s="7" t="s">
        <v>250</v>
      </c>
      <c r="P6" s="7" t="s">
        <v>251</v>
      </c>
      <c r="Q6" s="7" t="s">
        <v>78</v>
      </c>
      <c r="R6" s="8"/>
      <c r="S6" s="6" t="str">
        <f>"780,0"</f>
        <v>780,0</v>
      </c>
      <c r="T6" s="7" t="str">
        <f>"481,1820"</f>
        <v>481,1820</v>
      </c>
      <c r="U6" s="6" t="s">
        <v>252</v>
      </c>
    </row>
    <row r="8" spans="1:21" ht="15" x14ac:dyDescent="0.2">
      <c r="A8" s="35" t="s">
        <v>253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 x14ac:dyDescent="0.2">
      <c r="A9" s="6" t="s">
        <v>255</v>
      </c>
      <c r="B9" s="6" t="s">
        <v>256</v>
      </c>
      <c r="C9" s="6" t="s">
        <v>257</v>
      </c>
      <c r="D9" s="6" t="str">
        <f>"0,5976"</f>
        <v>0,5976</v>
      </c>
      <c r="E9" s="6" t="s">
        <v>18</v>
      </c>
      <c r="F9" s="6" t="s">
        <v>36</v>
      </c>
      <c r="G9" s="7" t="s">
        <v>74</v>
      </c>
      <c r="H9" s="8" t="s">
        <v>201</v>
      </c>
      <c r="I9" s="7" t="s">
        <v>201</v>
      </c>
      <c r="J9" s="8"/>
      <c r="K9" s="7" t="s">
        <v>142</v>
      </c>
      <c r="L9" s="8" t="s">
        <v>258</v>
      </c>
      <c r="M9" s="8" t="s">
        <v>258</v>
      </c>
      <c r="N9" s="8"/>
      <c r="O9" s="7" t="s">
        <v>142</v>
      </c>
      <c r="P9" s="7" t="s">
        <v>179</v>
      </c>
      <c r="Q9" s="8" t="s">
        <v>259</v>
      </c>
      <c r="R9" s="8"/>
      <c r="S9" s="6" t="str">
        <f>"805,0"</f>
        <v>805,0</v>
      </c>
      <c r="T9" s="7" t="str">
        <f>"481,0680"</f>
        <v>481,0680</v>
      </c>
      <c r="U9" s="6" t="s">
        <v>80</v>
      </c>
    </row>
    <row r="11" spans="1:21" ht="15" x14ac:dyDescent="0.2">
      <c r="E11" s="18" t="s">
        <v>102</v>
      </c>
    </row>
    <row r="12" spans="1:21" ht="15" x14ac:dyDescent="0.2">
      <c r="E12" s="18" t="s">
        <v>103</v>
      </c>
    </row>
    <row r="13" spans="1:21" ht="15" x14ac:dyDescent="0.2">
      <c r="E13" s="18" t="s">
        <v>104</v>
      </c>
    </row>
    <row r="14" spans="1:21" ht="15" x14ac:dyDescent="0.2">
      <c r="E14" s="18" t="s">
        <v>105</v>
      </c>
    </row>
    <row r="15" spans="1:21" ht="15" x14ac:dyDescent="0.2">
      <c r="E15" s="18" t="s">
        <v>105</v>
      </c>
    </row>
    <row r="16" spans="1:21" ht="15" x14ac:dyDescent="0.2">
      <c r="E16" s="18" t="s">
        <v>106</v>
      </c>
    </row>
    <row r="17" spans="1:5" ht="15" x14ac:dyDescent="0.2">
      <c r="E17" s="18"/>
    </row>
    <row r="19" spans="1:5" ht="18" x14ac:dyDescent="0.25">
      <c r="A19" s="19" t="s">
        <v>107</v>
      </c>
      <c r="B19" s="19"/>
    </row>
    <row r="20" spans="1:5" ht="15" x14ac:dyDescent="0.2">
      <c r="A20" s="20" t="s">
        <v>118</v>
      </c>
      <c r="B20" s="20"/>
    </row>
    <row r="21" spans="1:5" ht="14.25" x14ac:dyDescent="0.2">
      <c r="A21" s="22"/>
      <c r="B21" s="23" t="s">
        <v>109</v>
      </c>
    </row>
    <row r="22" spans="1:5" ht="15" x14ac:dyDescent="0.2">
      <c r="A22" s="24" t="s">
        <v>110</v>
      </c>
      <c r="B22" s="24" t="s">
        <v>111</v>
      </c>
      <c r="C22" s="24" t="s">
        <v>112</v>
      </c>
      <c r="D22" s="24" t="s">
        <v>113</v>
      </c>
      <c r="E22" s="24" t="s">
        <v>114</v>
      </c>
    </row>
    <row r="23" spans="1:5" x14ac:dyDescent="0.2">
      <c r="A23" s="21" t="s">
        <v>241</v>
      </c>
      <c r="B23" s="4" t="s">
        <v>109</v>
      </c>
      <c r="C23" s="4" t="s">
        <v>121</v>
      </c>
      <c r="D23" s="4" t="s">
        <v>260</v>
      </c>
      <c r="E23" s="25" t="s">
        <v>261</v>
      </c>
    </row>
    <row r="24" spans="1:5" x14ac:dyDescent="0.2">
      <c r="A24" s="21" t="s">
        <v>254</v>
      </c>
      <c r="B24" s="4" t="s">
        <v>109</v>
      </c>
      <c r="C24" s="4" t="s">
        <v>262</v>
      </c>
      <c r="D24" s="4" t="s">
        <v>263</v>
      </c>
      <c r="E24" s="25" t="s">
        <v>264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P14" sqref="P14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5.85546875" style="4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7" width="8.7109375" style="3" customWidth="1"/>
    <col min="8" max="8" width="10.42578125" style="31" customWidth="1"/>
    <col min="9" max="9" width="9.42578125" style="4" customWidth="1"/>
    <col min="10" max="10" width="8.5703125" style="3" bestFit="1" customWidth="1"/>
    <col min="11" max="11" width="12.140625" style="4" bestFit="1" customWidth="1"/>
    <col min="12" max="16384" width="9.140625" style="3"/>
  </cols>
  <sheetData>
    <row r="1" spans="1:11" s="2" customFormat="1" ht="29.1" customHeight="1" x14ac:dyDescent="0.2">
      <c r="A1" s="39" t="s">
        <v>1582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1430</v>
      </c>
      <c r="E3" s="37" t="s">
        <v>4</v>
      </c>
      <c r="F3" s="37" t="s">
        <v>8</v>
      </c>
      <c r="G3" s="37" t="s">
        <v>1431</v>
      </c>
      <c r="H3" s="37"/>
      <c r="I3" s="37" t="s">
        <v>1432</v>
      </c>
      <c r="J3" s="37" t="s">
        <v>3</v>
      </c>
      <c r="K3" s="48" t="s">
        <v>2</v>
      </c>
    </row>
    <row r="4" spans="1:11" s="1" customFormat="1" ht="21" customHeight="1" thickBot="1" x14ac:dyDescent="0.25">
      <c r="A4" s="46"/>
      <c r="B4" s="38"/>
      <c r="C4" s="38"/>
      <c r="D4" s="38"/>
      <c r="E4" s="38"/>
      <c r="F4" s="38"/>
      <c r="G4" s="26" t="s">
        <v>1433</v>
      </c>
      <c r="H4" s="29" t="s">
        <v>1434</v>
      </c>
      <c r="I4" s="38"/>
      <c r="J4" s="38"/>
      <c r="K4" s="49"/>
    </row>
    <row r="5" spans="1:11" ht="15" x14ac:dyDescent="0.2">
      <c r="A5" s="36" t="s">
        <v>265</v>
      </c>
      <c r="B5" s="36"/>
      <c r="C5" s="36"/>
      <c r="D5" s="36"/>
      <c r="E5" s="36"/>
      <c r="F5" s="36"/>
      <c r="G5" s="36"/>
      <c r="H5" s="36"/>
      <c r="I5" s="36"/>
      <c r="J5" s="36"/>
    </row>
    <row r="6" spans="1:11" x14ac:dyDescent="0.2">
      <c r="A6" s="6" t="s">
        <v>1435</v>
      </c>
      <c r="B6" s="6" t="s">
        <v>1150</v>
      </c>
      <c r="C6" s="6" t="s">
        <v>1151</v>
      </c>
      <c r="D6" s="6" t="str">
        <f>"1,0591"</f>
        <v>1,0591</v>
      </c>
      <c r="E6" s="6" t="s">
        <v>18</v>
      </c>
      <c r="F6" s="6" t="s">
        <v>36</v>
      </c>
      <c r="G6" s="7" t="s">
        <v>1436</v>
      </c>
      <c r="H6" s="30" t="s">
        <v>1437</v>
      </c>
      <c r="I6" s="6" t="str">
        <f>"742,5"</f>
        <v>742,5</v>
      </c>
      <c r="J6" s="7" t="str">
        <f>"786,3818"</f>
        <v>786,3818</v>
      </c>
      <c r="K6" s="6" t="s">
        <v>1152</v>
      </c>
    </row>
    <row r="8" spans="1:11" ht="15" x14ac:dyDescent="0.2">
      <c r="E8" s="18" t="s">
        <v>102</v>
      </c>
    </row>
    <row r="9" spans="1:11" ht="15" x14ac:dyDescent="0.2">
      <c r="E9" s="18" t="s">
        <v>103</v>
      </c>
    </row>
    <row r="10" spans="1:11" ht="15" x14ac:dyDescent="0.2">
      <c r="E10" s="18" t="s">
        <v>104</v>
      </c>
    </row>
    <row r="11" spans="1:11" ht="15" x14ac:dyDescent="0.2">
      <c r="E11" s="18" t="s">
        <v>105</v>
      </c>
    </row>
    <row r="12" spans="1:11" ht="15" x14ac:dyDescent="0.2">
      <c r="E12" s="18" t="s">
        <v>105</v>
      </c>
    </row>
    <row r="13" spans="1:11" ht="15" x14ac:dyDescent="0.2">
      <c r="E13" s="18" t="s">
        <v>106</v>
      </c>
    </row>
    <row r="14" spans="1:11" ht="15" x14ac:dyDescent="0.2">
      <c r="E14" s="18"/>
    </row>
    <row r="16" spans="1:11" ht="18" x14ac:dyDescent="0.25">
      <c r="A16" s="19" t="s">
        <v>107</v>
      </c>
      <c r="B16" s="19"/>
    </row>
    <row r="17" spans="1:5" ht="15" x14ac:dyDescent="0.2">
      <c r="A17" s="20" t="s">
        <v>108</v>
      </c>
      <c r="B17" s="20"/>
    </row>
    <row r="18" spans="1:5" ht="14.25" x14ac:dyDescent="0.2">
      <c r="A18" s="22"/>
      <c r="B18" s="23" t="s">
        <v>109</v>
      </c>
    </row>
    <row r="19" spans="1:5" ht="15" x14ac:dyDescent="0.2">
      <c r="A19" s="24" t="s">
        <v>110</v>
      </c>
      <c r="B19" s="24" t="s">
        <v>111</v>
      </c>
      <c r="C19" s="24" t="s">
        <v>112</v>
      </c>
      <c r="D19" s="24" t="s">
        <v>113</v>
      </c>
      <c r="E19" s="24" t="s">
        <v>1438</v>
      </c>
    </row>
    <row r="20" spans="1:5" x14ac:dyDescent="0.2">
      <c r="A20" s="21" t="s">
        <v>1439</v>
      </c>
      <c r="B20" s="4" t="s">
        <v>109</v>
      </c>
      <c r="C20" s="4" t="s">
        <v>391</v>
      </c>
      <c r="D20" s="4" t="s">
        <v>1440</v>
      </c>
      <c r="E20" s="25" t="s">
        <v>1441</v>
      </c>
    </row>
  </sheetData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6" style="4" customWidth="1"/>
    <col min="4" max="4" width="8.42578125" style="4" bestFit="1" customWidth="1"/>
    <col min="5" max="5" width="22.7109375" style="4" bestFit="1" customWidth="1"/>
    <col min="6" max="6" width="27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7.85546875" style="4" bestFit="1" customWidth="1"/>
    <col min="22" max="16384" width="9.140625" style="3"/>
  </cols>
  <sheetData>
    <row r="1" spans="1:21" s="2" customFormat="1" ht="29.1" customHeight="1" x14ac:dyDescent="0.2">
      <c r="A1" s="39" t="s">
        <v>1576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10</v>
      </c>
      <c r="H3" s="37"/>
      <c r="I3" s="37"/>
      <c r="J3" s="37"/>
      <c r="K3" s="37" t="s">
        <v>11</v>
      </c>
      <c r="L3" s="37"/>
      <c r="M3" s="37"/>
      <c r="N3" s="37"/>
      <c r="O3" s="37" t="s">
        <v>12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" x14ac:dyDescent="0.2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231</v>
      </c>
      <c r="B6" s="6" t="s">
        <v>232</v>
      </c>
      <c r="C6" s="6" t="s">
        <v>233</v>
      </c>
      <c r="D6" s="6" t="str">
        <f>"0,7193"</f>
        <v>0,7193</v>
      </c>
      <c r="E6" s="6" t="s">
        <v>18</v>
      </c>
      <c r="F6" s="6" t="s">
        <v>234</v>
      </c>
      <c r="G6" s="7" t="s">
        <v>26</v>
      </c>
      <c r="H6" s="8" t="s">
        <v>28</v>
      </c>
      <c r="I6" s="7" t="s">
        <v>28</v>
      </c>
      <c r="J6" s="8"/>
      <c r="K6" s="7" t="s">
        <v>99</v>
      </c>
      <c r="L6" s="7" t="s">
        <v>100</v>
      </c>
      <c r="M6" s="8" t="s">
        <v>41</v>
      </c>
      <c r="N6" s="8"/>
      <c r="O6" s="7" t="s">
        <v>64</v>
      </c>
      <c r="P6" s="7" t="s">
        <v>149</v>
      </c>
      <c r="Q6" s="8" t="s">
        <v>156</v>
      </c>
      <c r="R6" s="8"/>
      <c r="S6" s="6" t="str">
        <f>"495,0"</f>
        <v>495,0</v>
      </c>
      <c r="T6" s="7" t="str">
        <f>"451,4758"</f>
        <v>451,4758</v>
      </c>
      <c r="U6" s="6" t="s">
        <v>235</v>
      </c>
    </row>
    <row r="8" spans="1:21" ht="15" x14ac:dyDescent="0.2">
      <c r="A8" s="35" t="s">
        <v>46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 x14ac:dyDescent="0.2">
      <c r="A9" s="6" t="s">
        <v>236</v>
      </c>
      <c r="B9" s="6" t="s">
        <v>237</v>
      </c>
      <c r="C9" s="6" t="s">
        <v>238</v>
      </c>
      <c r="D9" s="6" t="str">
        <f>"0,6432"</f>
        <v>0,6432</v>
      </c>
      <c r="E9" s="6" t="s">
        <v>35</v>
      </c>
      <c r="F9" s="6" t="s">
        <v>36</v>
      </c>
      <c r="G9" s="8" t="s">
        <v>85</v>
      </c>
      <c r="H9" s="8" t="s">
        <v>85</v>
      </c>
      <c r="I9" s="8" t="s">
        <v>85</v>
      </c>
      <c r="J9" s="8"/>
      <c r="K9" s="8" t="s">
        <v>21</v>
      </c>
      <c r="L9" s="8"/>
      <c r="M9" s="8"/>
      <c r="N9" s="8"/>
      <c r="O9" s="8" t="s">
        <v>52</v>
      </c>
      <c r="P9" s="8"/>
      <c r="Q9" s="8"/>
      <c r="R9" s="8"/>
      <c r="S9" s="6" t="str">
        <f>"0.00"</f>
        <v>0.00</v>
      </c>
      <c r="T9" s="7" t="str">
        <f>"0,0000"</f>
        <v>0,0000</v>
      </c>
      <c r="U9" s="6" t="s">
        <v>80</v>
      </c>
    </row>
    <row r="11" spans="1:21" ht="15" x14ac:dyDescent="0.2">
      <c r="E11" s="18" t="s">
        <v>102</v>
      </c>
    </row>
    <row r="12" spans="1:21" ht="15" x14ac:dyDescent="0.2">
      <c r="E12" s="18" t="s">
        <v>103</v>
      </c>
    </row>
    <row r="13" spans="1:21" ht="15" x14ac:dyDescent="0.2">
      <c r="E13" s="18" t="s">
        <v>104</v>
      </c>
    </row>
    <row r="14" spans="1:21" ht="15" x14ac:dyDescent="0.2">
      <c r="E14" s="18" t="s">
        <v>105</v>
      </c>
    </row>
    <row r="15" spans="1:21" ht="15" x14ac:dyDescent="0.2">
      <c r="E15" s="18" t="s">
        <v>105</v>
      </c>
    </row>
    <row r="16" spans="1:21" ht="15" x14ac:dyDescent="0.2">
      <c r="E16" s="18" t="s">
        <v>106</v>
      </c>
    </row>
    <row r="17" spans="1:5" ht="15" x14ac:dyDescent="0.2">
      <c r="E17" s="18"/>
    </row>
    <row r="19" spans="1:5" ht="18" x14ac:dyDescent="0.25">
      <c r="A19" s="19" t="s">
        <v>107</v>
      </c>
      <c r="B19" s="19"/>
    </row>
    <row r="20" spans="1:5" ht="15" x14ac:dyDescent="0.2">
      <c r="A20" s="20" t="s">
        <v>118</v>
      </c>
      <c r="B20" s="20"/>
    </row>
    <row r="21" spans="1:5" ht="14.25" x14ac:dyDescent="0.2">
      <c r="A21" s="22"/>
      <c r="B21" s="23" t="s">
        <v>227</v>
      </c>
    </row>
    <row r="22" spans="1:5" ht="15" x14ac:dyDescent="0.2">
      <c r="A22" s="24" t="s">
        <v>110</v>
      </c>
      <c r="B22" s="24" t="s">
        <v>111</v>
      </c>
      <c r="C22" s="24" t="s">
        <v>112</v>
      </c>
      <c r="D22" s="24" t="s">
        <v>113</v>
      </c>
      <c r="E22" s="24" t="s">
        <v>114</v>
      </c>
    </row>
    <row r="23" spans="1:5" x14ac:dyDescent="0.2">
      <c r="A23" s="21" t="s">
        <v>230</v>
      </c>
      <c r="B23" s="4" t="s">
        <v>239</v>
      </c>
      <c r="C23" s="4" t="s">
        <v>115</v>
      </c>
      <c r="D23" s="4" t="s">
        <v>135</v>
      </c>
      <c r="E23" s="25" t="s">
        <v>240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49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6.5703125" style="4" bestFit="1" customWidth="1"/>
    <col min="3" max="3" width="15.140625" style="4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7.5703125" style="4" bestFit="1" customWidth="1"/>
    <col min="22" max="16384" width="9.140625" style="3"/>
  </cols>
  <sheetData>
    <row r="1" spans="1:21" s="2" customFormat="1" ht="29.1" customHeight="1" x14ac:dyDescent="0.2">
      <c r="A1" s="39" t="s">
        <v>1578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10</v>
      </c>
      <c r="H3" s="37"/>
      <c r="I3" s="37"/>
      <c r="J3" s="37"/>
      <c r="K3" s="37" t="s">
        <v>11</v>
      </c>
      <c r="L3" s="37"/>
      <c r="M3" s="37"/>
      <c r="N3" s="37"/>
      <c r="O3" s="37" t="s">
        <v>12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" x14ac:dyDescent="0.2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15</v>
      </c>
      <c r="B6" s="6" t="s">
        <v>16</v>
      </c>
      <c r="C6" s="6" t="s">
        <v>17</v>
      </c>
      <c r="D6" s="6" t="str">
        <f>"0,9910"</f>
        <v>0,9910</v>
      </c>
      <c r="E6" s="6" t="s">
        <v>18</v>
      </c>
      <c r="F6" s="6" t="s">
        <v>19</v>
      </c>
      <c r="G6" s="7" t="s">
        <v>20</v>
      </c>
      <c r="H6" s="7" t="s">
        <v>21</v>
      </c>
      <c r="I6" s="7" t="s">
        <v>22</v>
      </c>
      <c r="J6" s="8"/>
      <c r="K6" s="7" t="s">
        <v>23</v>
      </c>
      <c r="L6" s="7" t="s">
        <v>24</v>
      </c>
      <c r="M6" s="8" t="s">
        <v>25</v>
      </c>
      <c r="N6" s="8"/>
      <c r="O6" s="7" t="s">
        <v>26</v>
      </c>
      <c r="P6" s="7" t="s">
        <v>27</v>
      </c>
      <c r="Q6" s="8" t="s">
        <v>28</v>
      </c>
      <c r="R6" s="8"/>
      <c r="S6" s="6" t="str">
        <f>"417,5"</f>
        <v>417,5</v>
      </c>
      <c r="T6" s="7" t="str">
        <f>"413,7425"</f>
        <v>413,7425</v>
      </c>
      <c r="U6" s="6" t="s">
        <v>29</v>
      </c>
    </row>
    <row r="8" spans="1:21" ht="15" x14ac:dyDescent="0.2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 x14ac:dyDescent="0.2">
      <c r="A9" s="6" t="s">
        <v>32</v>
      </c>
      <c r="B9" s="6" t="s">
        <v>33</v>
      </c>
      <c r="C9" s="6" t="s">
        <v>34</v>
      </c>
      <c r="D9" s="6" t="str">
        <f>"0,6854"</f>
        <v>0,6854</v>
      </c>
      <c r="E9" s="6" t="s">
        <v>35</v>
      </c>
      <c r="F9" s="6" t="s">
        <v>36</v>
      </c>
      <c r="G9" s="7" t="s">
        <v>22</v>
      </c>
      <c r="H9" s="8" t="s">
        <v>37</v>
      </c>
      <c r="I9" s="8" t="s">
        <v>38</v>
      </c>
      <c r="J9" s="8"/>
      <c r="K9" s="7" t="s">
        <v>39</v>
      </c>
      <c r="L9" s="8" t="s">
        <v>40</v>
      </c>
      <c r="M9" s="7" t="s">
        <v>41</v>
      </c>
      <c r="N9" s="8"/>
      <c r="O9" s="7" t="s">
        <v>42</v>
      </c>
      <c r="P9" s="8" t="s">
        <v>43</v>
      </c>
      <c r="Q9" s="7" t="s">
        <v>44</v>
      </c>
      <c r="R9" s="8"/>
      <c r="S9" s="6" t="str">
        <f>"495,0"</f>
        <v>495,0</v>
      </c>
      <c r="T9" s="7" t="str">
        <f>"339,2730"</f>
        <v>339,2730</v>
      </c>
      <c r="U9" s="6" t="s">
        <v>45</v>
      </c>
    </row>
    <row r="11" spans="1:21" ht="15" x14ac:dyDescent="0.2">
      <c r="A11" s="35" t="s">
        <v>46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1" x14ac:dyDescent="0.2">
      <c r="A12" s="9" t="s">
        <v>48</v>
      </c>
      <c r="B12" s="9" t="s">
        <v>49</v>
      </c>
      <c r="C12" s="9" t="s">
        <v>50</v>
      </c>
      <c r="D12" s="9" t="str">
        <f>"0,6428"</f>
        <v>0,6428</v>
      </c>
      <c r="E12" s="9" t="s">
        <v>18</v>
      </c>
      <c r="F12" s="9" t="s">
        <v>36</v>
      </c>
      <c r="G12" s="10" t="s">
        <v>51</v>
      </c>
      <c r="H12" s="10" t="s">
        <v>43</v>
      </c>
      <c r="I12" s="10" t="s">
        <v>52</v>
      </c>
      <c r="J12" s="11"/>
      <c r="K12" s="10" t="s">
        <v>22</v>
      </c>
      <c r="L12" s="10" t="s">
        <v>37</v>
      </c>
      <c r="M12" s="11" t="s">
        <v>26</v>
      </c>
      <c r="N12" s="11"/>
      <c r="O12" s="10" t="s">
        <v>53</v>
      </c>
      <c r="P12" s="10" t="s">
        <v>43</v>
      </c>
      <c r="Q12" s="10" t="s">
        <v>44</v>
      </c>
      <c r="R12" s="11"/>
      <c r="S12" s="9" t="str">
        <f>"620,0"</f>
        <v>620,0</v>
      </c>
      <c r="T12" s="10" t="str">
        <f>"398,5360"</f>
        <v>398,5360</v>
      </c>
      <c r="U12" s="9" t="s">
        <v>54</v>
      </c>
    </row>
    <row r="13" spans="1:21" x14ac:dyDescent="0.2">
      <c r="A13" s="12" t="s">
        <v>55</v>
      </c>
      <c r="B13" s="12" t="s">
        <v>56</v>
      </c>
      <c r="C13" s="12" t="s">
        <v>50</v>
      </c>
      <c r="D13" s="12" t="str">
        <f>"0,6428"</f>
        <v>0,6428</v>
      </c>
      <c r="E13" s="12" t="s">
        <v>18</v>
      </c>
      <c r="F13" s="12" t="s">
        <v>36</v>
      </c>
      <c r="G13" s="13" t="s">
        <v>28</v>
      </c>
      <c r="H13" s="13" t="s">
        <v>28</v>
      </c>
      <c r="I13" s="13" t="s">
        <v>28</v>
      </c>
      <c r="J13" s="13"/>
      <c r="K13" s="13" t="s">
        <v>39</v>
      </c>
      <c r="L13" s="13"/>
      <c r="M13" s="13"/>
      <c r="N13" s="13"/>
      <c r="O13" s="13" t="s">
        <v>26</v>
      </c>
      <c r="P13" s="13"/>
      <c r="Q13" s="13"/>
      <c r="R13" s="13"/>
      <c r="S13" s="12" t="str">
        <f>"0.00"</f>
        <v>0.00</v>
      </c>
      <c r="T13" s="17" t="str">
        <f>"0,0000"</f>
        <v>0,0000</v>
      </c>
      <c r="U13" s="12" t="s">
        <v>57</v>
      </c>
    </row>
    <row r="15" spans="1:21" ht="15" x14ac:dyDescent="0.2">
      <c r="A15" s="35" t="s">
        <v>58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1" x14ac:dyDescent="0.2">
      <c r="A16" s="9" t="s">
        <v>60</v>
      </c>
      <c r="B16" s="9" t="s">
        <v>61</v>
      </c>
      <c r="C16" s="9" t="s">
        <v>62</v>
      </c>
      <c r="D16" s="9" t="str">
        <f>"0,6197"</f>
        <v>0,6197</v>
      </c>
      <c r="E16" s="9" t="s">
        <v>18</v>
      </c>
      <c r="F16" s="9" t="s">
        <v>63</v>
      </c>
      <c r="G16" s="10" t="s">
        <v>26</v>
      </c>
      <c r="H16" s="10" t="s">
        <v>28</v>
      </c>
      <c r="I16" s="10" t="s">
        <v>64</v>
      </c>
      <c r="J16" s="11"/>
      <c r="K16" s="10" t="s">
        <v>65</v>
      </c>
      <c r="L16" s="10" t="s">
        <v>25</v>
      </c>
      <c r="M16" s="11" t="s">
        <v>66</v>
      </c>
      <c r="N16" s="11"/>
      <c r="O16" s="10" t="s">
        <v>67</v>
      </c>
      <c r="P16" s="10" t="s">
        <v>26</v>
      </c>
      <c r="Q16" s="11" t="s">
        <v>38</v>
      </c>
      <c r="R16" s="11"/>
      <c r="S16" s="9" t="str">
        <f>"452,5"</f>
        <v>452,5</v>
      </c>
      <c r="T16" s="10" t="str">
        <f>"280,4143"</f>
        <v>280,4143</v>
      </c>
      <c r="U16" s="9" t="s">
        <v>68</v>
      </c>
    </row>
    <row r="17" spans="1:21" x14ac:dyDescent="0.2">
      <c r="A17" s="14" t="s">
        <v>70</v>
      </c>
      <c r="B17" s="14" t="s">
        <v>71</v>
      </c>
      <c r="C17" s="14" t="s">
        <v>62</v>
      </c>
      <c r="D17" s="14" t="str">
        <f>"0,6197"</f>
        <v>0,6197</v>
      </c>
      <c r="E17" s="14" t="s">
        <v>18</v>
      </c>
      <c r="F17" s="14" t="s">
        <v>72</v>
      </c>
      <c r="G17" s="15" t="s">
        <v>73</v>
      </c>
      <c r="H17" s="15" t="s">
        <v>74</v>
      </c>
      <c r="I17" s="15" t="s">
        <v>75</v>
      </c>
      <c r="J17" s="16"/>
      <c r="K17" s="15" t="s">
        <v>37</v>
      </c>
      <c r="L17" s="15" t="s">
        <v>76</v>
      </c>
      <c r="M17" s="15" t="s">
        <v>77</v>
      </c>
      <c r="N17" s="16"/>
      <c r="O17" s="15" t="s">
        <v>73</v>
      </c>
      <c r="P17" s="15" t="s">
        <v>78</v>
      </c>
      <c r="Q17" s="15" t="s">
        <v>79</v>
      </c>
      <c r="R17" s="16"/>
      <c r="S17" s="14" t="str">
        <f>"790,0"</f>
        <v>790,0</v>
      </c>
      <c r="T17" s="15" t="str">
        <f>"489,5630"</f>
        <v>489,5630</v>
      </c>
      <c r="U17" s="14" t="s">
        <v>80</v>
      </c>
    </row>
    <row r="18" spans="1:21" x14ac:dyDescent="0.2">
      <c r="A18" s="12" t="s">
        <v>82</v>
      </c>
      <c r="B18" s="12" t="s">
        <v>83</v>
      </c>
      <c r="C18" s="12" t="s">
        <v>84</v>
      </c>
      <c r="D18" s="12" t="str">
        <f>"0,6096"</f>
        <v>0,6096</v>
      </c>
      <c r="E18" s="12" t="s">
        <v>18</v>
      </c>
      <c r="F18" s="12" t="s">
        <v>36</v>
      </c>
      <c r="G18" s="17" t="s">
        <v>85</v>
      </c>
      <c r="H18" s="17" t="s">
        <v>86</v>
      </c>
      <c r="I18" s="17" t="s">
        <v>87</v>
      </c>
      <c r="J18" s="13"/>
      <c r="K18" s="17" t="s">
        <v>28</v>
      </c>
      <c r="L18" s="17" t="s">
        <v>88</v>
      </c>
      <c r="M18" s="13" t="s">
        <v>89</v>
      </c>
      <c r="N18" s="13"/>
      <c r="O18" s="17" t="s">
        <v>78</v>
      </c>
      <c r="P18" s="17" t="s">
        <v>90</v>
      </c>
      <c r="Q18" s="17" t="s">
        <v>91</v>
      </c>
      <c r="R18" s="13"/>
      <c r="S18" s="12" t="str">
        <f>"782,5"</f>
        <v>782,5</v>
      </c>
      <c r="T18" s="17" t="str">
        <f>"477,0120"</f>
        <v>477,0120</v>
      </c>
      <c r="U18" s="12" t="s">
        <v>92</v>
      </c>
    </row>
    <row r="20" spans="1:21" ht="15" x14ac:dyDescent="0.2">
      <c r="A20" s="35" t="s">
        <v>93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1" x14ac:dyDescent="0.2">
      <c r="A21" s="6" t="s">
        <v>95</v>
      </c>
      <c r="B21" s="6" t="s">
        <v>96</v>
      </c>
      <c r="C21" s="6" t="s">
        <v>97</v>
      </c>
      <c r="D21" s="6" t="str">
        <f>"0,5793"</f>
        <v>0,5793</v>
      </c>
      <c r="E21" s="6" t="s">
        <v>18</v>
      </c>
      <c r="F21" s="6" t="s">
        <v>63</v>
      </c>
      <c r="G21" s="7" t="s">
        <v>98</v>
      </c>
      <c r="H21" s="7" t="s">
        <v>67</v>
      </c>
      <c r="I21" s="8" t="s">
        <v>26</v>
      </c>
      <c r="J21" s="8"/>
      <c r="K21" s="7" t="s">
        <v>99</v>
      </c>
      <c r="L21" s="8" t="s">
        <v>100</v>
      </c>
      <c r="M21" s="7" t="s">
        <v>100</v>
      </c>
      <c r="N21" s="8"/>
      <c r="O21" s="7" t="s">
        <v>21</v>
      </c>
      <c r="P21" s="7" t="s">
        <v>67</v>
      </c>
      <c r="Q21" s="7" t="s">
        <v>26</v>
      </c>
      <c r="R21" s="8"/>
      <c r="S21" s="6" t="str">
        <f>"440,0"</f>
        <v>440,0</v>
      </c>
      <c r="T21" s="7" t="str">
        <f>"254,8920"</f>
        <v>254,8920</v>
      </c>
      <c r="U21" s="6" t="s">
        <v>101</v>
      </c>
    </row>
    <row r="23" spans="1:21" ht="15" x14ac:dyDescent="0.2">
      <c r="E23" s="18" t="s">
        <v>102</v>
      </c>
    </row>
    <row r="24" spans="1:21" ht="15" x14ac:dyDescent="0.2">
      <c r="E24" s="18" t="s">
        <v>103</v>
      </c>
    </row>
    <row r="25" spans="1:21" ht="15" x14ac:dyDescent="0.2">
      <c r="E25" s="18" t="s">
        <v>104</v>
      </c>
    </row>
    <row r="26" spans="1:21" ht="15" x14ac:dyDescent="0.2">
      <c r="E26" s="18" t="s">
        <v>105</v>
      </c>
    </row>
    <row r="27" spans="1:21" ht="15" x14ac:dyDescent="0.2">
      <c r="E27" s="18" t="s">
        <v>105</v>
      </c>
    </row>
    <row r="28" spans="1:21" ht="15" x14ac:dyDescent="0.2">
      <c r="E28" s="18" t="s">
        <v>106</v>
      </c>
    </row>
    <row r="29" spans="1:21" ht="15" x14ac:dyDescent="0.2">
      <c r="E29" s="18"/>
    </row>
    <row r="31" spans="1:21" ht="18" x14ac:dyDescent="0.25">
      <c r="A31" s="19" t="s">
        <v>107</v>
      </c>
      <c r="B31" s="19"/>
    </row>
    <row r="32" spans="1:21" ht="15" x14ac:dyDescent="0.2">
      <c r="A32" s="20" t="s">
        <v>108</v>
      </c>
      <c r="B32" s="20"/>
    </row>
    <row r="33" spans="1:5" ht="14.25" x14ac:dyDescent="0.2">
      <c r="A33" s="22"/>
      <c r="B33" s="23" t="s">
        <v>109</v>
      </c>
    </row>
    <row r="34" spans="1:5" ht="15" x14ac:dyDescent="0.2">
      <c r="A34" s="24" t="s">
        <v>110</v>
      </c>
      <c r="B34" s="24" t="s">
        <v>111</v>
      </c>
      <c r="C34" s="24" t="s">
        <v>112</v>
      </c>
      <c r="D34" s="24" t="s">
        <v>113</v>
      </c>
      <c r="E34" s="24" t="s">
        <v>114</v>
      </c>
    </row>
    <row r="35" spans="1:5" x14ac:dyDescent="0.2">
      <c r="A35" s="21" t="s">
        <v>14</v>
      </c>
      <c r="B35" s="4" t="s">
        <v>109</v>
      </c>
      <c r="C35" s="4" t="s">
        <v>115</v>
      </c>
      <c r="D35" s="4" t="s">
        <v>116</v>
      </c>
      <c r="E35" s="25" t="s">
        <v>117</v>
      </c>
    </row>
    <row r="38" spans="1:5" ht="15" x14ac:dyDescent="0.2">
      <c r="A38" s="20" t="s">
        <v>118</v>
      </c>
      <c r="B38" s="20"/>
    </row>
    <row r="39" spans="1:5" ht="14.25" x14ac:dyDescent="0.2">
      <c r="A39" s="22"/>
      <c r="B39" s="23" t="s">
        <v>119</v>
      </c>
    </row>
    <row r="40" spans="1:5" ht="15" x14ac:dyDescent="0.2">
      <c r="A40" s="24" t="s">
        <v>110</v>
      </c>
      <c r="B40" s="24" t="s">
        <v>111</v>
      </c>
      <c r="C40" s="24" t="s">
        <v>112</v>
      </c>
      <c r="D40" s="24" t="s">
        <v>113</v>
      </c>
      <c r="E40" s="24" t="s">
        <v>114</v>
      </c>
    </row>
    <row r="41" spans="1:5" x14ac:dyDescent="0.2">
      <c r="A41" s="21" t="s">
        <v>59</v>
      </c>
      <c r="B41" s="4" t="s">
        <v>120</v>
      </c>
      <c r="C41" s="4" t="s">
        <v>121</v>
      </c>
      <c r="D41" s="4" t="s">
        <v>122</v>
      </c>
      <c r="E41" s="25" t="s">
        <v>123</v>
      </c>
    </row>
    <row r="42" spans="1:5" x14ac:dyDescent="0.2">
      <c r="A42" s="21" t="s">
        <v>94</v>
      </c>
      <c r="B42" s="4" t="s">
        <v>120</v>
      </c>
      <c r="C42" s="4" t="s">
        <v>124</v>
      </c>
      <c r="D42" s="4" t="s">
        <v>125</v>
      </c>
      <c r="E42" s="25" t="s">
        <v>126</v>
      </c>
    </row>
    <row r="44" spans="1:5" ht="14.25" x14ac:dyDescent="0.2">
      <c r="A44" s="22"/>
      <c r="B44" s="23" t="s">
        <v>109</v>
      </c>
    </row>
    <row r="45" spans="1:5" ht="15" x14ac:dyDescent="0.2">
      <c r="A45" s="24" t="s">
        <v>110</v>
      </c>
      <c r="B45" s="24" t="s">
        <v>111</v>
      </c>
      <c r="C45" s="24" t="s">
        <v>112</v>
      </c>
      <c r="D45" s="24" t="s">
        <v>113</v>
      </c>
      <c r="E45" s="24" t="s">
        <v>114</v>
      </c>
    </row>
    <row r="46" spans="1:5" x14ac:dyDescent="0.2">
      <c r="A46" s="21" t="s">
        <v>69</v>
      </c>
      <c r="B46" s="4" t="s">
        <v>109</v>
      </c>
      <c r="C46" s="4" t="s">
        <v>121</v>
      </c>
      <c r="D46" s="4" t="s">
        <v>127</v>
      </c>
      <c r="E46" s="25" t="s">
        <v>128</v>
      </c>
    </row>
    <row r="47" spans="1:5" x14ac:dyDescent="0.2">
      <c r="A47" s="21" t="s">
        <v>81</v>
      </c>
      <c r="B47" s="4" t="s">
        <v>109</v>
      </c>
      <c r="C47" s="4" t="s">
        <v>121</v>
      </c>
      <c r="D47" s="4" t="s">
        <v>129</v>
      </c>
      <c r="E47" s="25" t="s">
        <v>130</v>
      </c>
    </row>
    <row r="48" spans="1:5" x14ac:dyDescent="0.2">
      <c r="A48" s="21" t="s">
        <v>47</v>
      </c>
      <c r="B48" s="4" t="s">
        <v>109</v>
      </c>
      <c r="C48" s="4" t="s">
        <v>131</v>
      </c>
      <c r="D48" s="4" t="s">
        <v>132</v>
      </c>
      <c r="E48" s="25" t="s">
        <v>133</v>
      </c>
    </row>
    <row r="49" spans="1:5" x14ac:dyDescent="0.2">
      <c r="A49" s="21" t="s">
        <v>31</v>
      </c>
      <c r="B49" s="4" t="s">
        <v>109</v>
      </c>
      <c r="C49" s="4" t="s">
        <v>134</v>
      </c>
      <c r="D49" s="4" t="s">
        <v>135</v>
      </c>
      <c r="E49" s="25" t="s">
        <v>136</v>
      </c>
    </row>
  </sheetData>
  <mergeCells count="18">
    <mergeCell ref="A5:T5"/>
    <mergeCell ref="A8:T8"/>
    <mergeCell ref="A11:T11"/>
    <mergeCell ref="A15:T15"/>
    <mergeCell ref="A20:T20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6.140625" style="4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6.140625" style="4" bestFit="1" customWidth="1"/>
    <col min="22" max="16384" width="9.140625" style="3"/>
  </cols>
  <sheetData>
    <row r="1" spans="1:21" s="2" customFormat="1" ht="29.1" customHeight="1" x14ac:dyDescent="0.2">
      <c r="A1" s="39" t="s">
        <v>1577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10</v>
      </c>
      <c r="H3" s="37"/>
      <c r="I3" s="37"/>
      <c r="J3" s="37"/>
      <c r="K3" s="37" t="s">
        <v>11</v>
      </c>
      <c r="L3" s="37"/>
      <c r="M3" s="37"/>
      <c r="N3" s="37"/>
      <c r="O3" s="37" t="s">
        <v>12</v>
      </c>
      <c r="P3" s="37"/>
      <c r="Q3" s="37"/>
      <c r="R3" s="37"/>
      <c r="S3" s="37" t="s">
        <v>1</v>
      </c>
      <c r="T3" s="37" t="s">
        <v>3</v>
      </c>
      <c r="U3" s="48" t="s">
        <v>2</v>
      </c>
    </row>
    <row r="4" spans="1:21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8"/>
      <c r="T4" s="38"/>
      <c r="U4" s="49"/>
    </row>
    <row r="5" spans="1:21" ht="15" x14ac:dyDescent="0.2">
      <c r="A5" s="36" t="s">
        <v>137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1" x14ac:dyDescent="0.2">
      <c r="A6" s="6" t="s">
        <v>139</v>
      </c>
      <c r="B6" s="6" t="s">
        <v>140</v>
      </c>
      <c r="C6" s="6" t="s">
        <v>141</v>
      </c>
      <c r="D6" s="6" t="str">
        <f>"0,7719"</f>
        <v>0,7719</v>
      </c>
      <c r="E6" s="6" t="s">
        <v>18</v>
      </c>
      <c r="F6" s="6" t="s">
        <v>36</v>
      </c>
      <c r="G6" s="7" t="s">
        <v>42</v>
      </c>
      <c r="H6" s="8" t="s">
        <v>51</v>
      </c>
      <c r="I6" s="7" t="s">
        <v>51</v>
      </c>
      <c r="J6" s="8"/>
      <c r="K6" s="7" t="s">
        <v>20</v>
      </c>
      <c r="L6" s="8" t="s">
        <v>21</v>
      </c>
      <c r="M6" s="8"/>
      <c r="N6" s="8"/>
      <c r="O6" s="7" t="s">
        <v>142</v>
      </c>
      <c r="P6" s="8" t="s">
        <v>143</v>
      </c>
      <c r="Q6" s="7" t="s">
        <v>143</v>
      </c>
      <c r="R6" s="8"/>
      <c r="S6" s="6" t="str">
        <f>"595,0"</f>
        <v>595,0</v>
      </c>
      <c r="T6" s="7" t="str">
        <f>"459,2805"</f>
        <v>459,2805</v>
      </c>
      <c r="U6" s="6" t="s">
        <v>144</v>
      </c>
    </row>
    <row r="8" spans="1:21" ht="15" x14ac:dyDescent="0.2">
      <c r="A8" s="35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1" x14ac:dyDescent="0.2">
      <c r="A9" s="9" t="s">
        <v>145</v>
      </c>
      <c r="B9" s="9" t="s">
        <v>146</v>
      </c>
      <c r="C9" s="9" t="s">
        <v>147</v>
      </c>
      <c r="D9" s="9" t="str">
        <f>"0,6790"</f>
        <v>0,6790</v>
      </c>
      <c r="E9" s="9" t="s">
        <v>35</v>
      </c>
      <c r="F9" s="9" t="s">
        <v>148</v>
      </c>
      <c r="G9" s="11" t="s">
        <v>64</v>
      </c>
      <c r="H9" s="10" t="s">
        <v>51</v>
      </c>
      <c r="I9" s="11" t="s">
        <v>149</v>
      </c>
      <c r="J9" s="11"/>
      <c r="K9" s="11" t="s">
        <v>21</v>
      </c>
      <c r="L9" s="11"/>
      <c r="M9" s="11"/>
      <c r="N9" s="11"/>
      <c r="O9" s="11" t="s">
        <v>52</v>
      </c>
      <c r="P9" s="11"/>
      <c r="Q9" s="11"/>
      <c r="R9" s="11"/>
      <c r="S9" s="9" t="str">
        <f>"0.00"</f>
        <v>0.00</v>
      </c>
      <c r="T9" s="10" t="str">
        <f>"0,0000"</f>
        <v>0,0000</v>
      </c>
      <c r="U9" s="9" t="s">
        <v>150</v>
      </c>
    </row>
    <row r="10" spans="1:21" x14ac:dyDescent="0.2">
      <c r="A10" s="14" t="s">
        <v>152</v>
      </c>
      <c r="B10" s="14" t="s">
        <v>153</v>
      </c>
      <c r="C10" s="14" t="s">
        <v>154</v>
      </c>
      <c r="D10" s="14" t="str">
        <f>"0,6910"</f>
        <v>0,6910</v>
      </c>
      <c r="E10" s="14" t="s">
        <v>35</v>
      </c>
      <c r="F10" s="14" t="s">
        <v>155</v>
      </c>
      <c r="G10" s="15" t="s">
        <v>98</v>
      </c>
      <c r="H10" s="15" t="s">
        <v>67</v>
      </c>
      <c r="I10" s="16" t="s">
        <v>28</v>
      </c>
      <c r="J10" s="16"/>
      <c r="K10" s="15" t="s">
        <v>99</v>
      </c>
      <c r="L10" s="16" t="s">
        <v>40</v>
      </c>
      <c r="M10" s="15" t="s">
        <v>40</v>
      </c>
      <c r="N10" s="16"/>
      <c r="O10" s="15" t="s">
        <v>42</v>
      </c>
      <c r="P10" s="15" t="s">
        <v>156</v>
      </c>
      <c r="Q10" s="15" t="s">
        <v>157</v>
      </c>
      <c r="R10" s="16"/>
      <c r="S10" s="14" t="str">
        <f>"490,0"</f>
        <v>490,0</v>
      </c>
      <c r="T10" s="15" t="str">
        <f>"338,5900"</f>
        <v>338,5900</v>
      </c>
      <c r="U10" s="14" t="s">
        <v>158</v>
      </c>
    </row>
    <row r="11" spans="1:21" x14ac:dyDescent="0.2">
      <c r="A11" s="12" t="s">
        <v>145</v>
      </c>
      <c r="B11" s="12" t="s">
        <v>159</v>
      </c>
      <c r="C11" s="12" t="s">
        <v>147</v>
      </c>
      <c r="D11" s="12" t="str">
        <f>"0,6790"</f>
        <v>0,6790</v>
      </c>
      <c r="E11" s="12" t="s">
        <v>35</v>
      </c>
      <c r="F11" s="12" t="s">
        <v>148</v>
      </c>
      <c r="G11" s="13" t="s">
        <v>64</v>
      </c>
      <c r="H11" s="17" t="s">
        <v>51</v>
      </c>
      <c r="I11" s="13" t="s">
        <v>149</v>
      </c>
      <c r="J11" s="13"/>
      <c r="K11" s="13" t="s">
        <v>21</v>
      </c>
      <c r="L11" s="13"/>
      <c r="M11" s="13"/>
      <c r="N11" s="13"/>
      <c r="O11" s="13" t="s">
        <v>52</v>
      </c>
      <c r="P11" s="13"/>
      <c r="Q11" s="13"/>
      <c r="R11" s="13"/>
      <c r="S11" s="12" t="str">
        <f>"0.00"</f>
        <v>0.00</v>
      </c>
      <c r="T11" s="17" t="str">
        <f>"0,0000"</f>
        <v>0,0000</v>
      </c>
      <c r="U11" s="12" t="s">
        <v>150</v>
      </c>
    </row>
    <row r="13" spans="1:21" ht="15" x14ac:dyDescent="0.2">
      <c r="A13" s="35" t="s">
        <v>46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1" x14ac:dyDescent="0.2">
      <c r="A14" s="9" t="s">
        <v>161</v>
      </c>
      <c r="B14" s="9" t="s">
        <v>162</v>
      </c>
      <c r="C14" s="9" t="s">
        <v>163</v>
      </c>
      <c r="D14" s="9" t="str">
        <f>"0,6417"</f>
        <v>0,6417</v>
      </c>
      <c r="E14" s="9" t="s">
        <v>18</v>
      </c>
      <c r="F14" s="9" t="s">
        <v>36</v>
      </c>
      <c r="G14" s="10" t="s">
        <v>44</v>
      </c>
      <c r="H14" s="10" t="s">
        <v>164</v>
      </c>
      <c r="I14" s="10" t="s">
        <v>165</v>
      </c>
      <c r="J14" s="11"/>
      <c r="K14" s="10" t="s">
        <v>166</v>
      </c>
      <c r="L14" s="10" t="s">
        <v>167</v>
      </c>
      <c r="M14" s="10" t="s">
        <v>21</v>
      </c>
      <c r="N14" s="11"/>
      <c r="O14" s="10" t="s">
        <v>86</v>
      </c>
      <c r="P14" s="10" t="s">
        <v>87</v>
      </c>
      <c r="Q14" s="11" t="s">
        <v>168</v>
      </c>
      <c r="R14" s="11"/>
      <c r="S14" s="9" t="str">
        <f>"667,5"</f>
        <v>667,5</v>
      </c>
      <c r="T14" s="10" t="str">
        <f>"428,3348"</f>
        <v>428,3348</v>
      </c>
      <c r="U14" s="9" t="s">
        <v>169</v>
      </c>
    </row>
    <row r="15" spans="1:21" x14ac:dyDescent="0.2">
      <c r="A15" s="12" t="s">
        <v>171</v>
      </c>
      <c r="B15" s="12" t="s">
        <v>172</v>
      </c>
      <c r="C15" s="12" t="s">
        <v>173</v>
      </c>
      <c r="D15" s="12" t="str">
        <f>"0,6413"</f>
        <v>0,6413</v>
      </c>
      <c r="E15" s="12" t="s">
        <v>18</v>
      </c>
      <c r="F15" s="12" t="s">
        <v>36</v>
      </c>
      <c r="G15" s="13" t="s">
        <v>53</v>
      </c>
      <c r="H15" s="17" t="s">
        <v>53</v>
      </c>
      <c r="I15" s="17" t="s">
        <v>44</v>
      </c>
      <c r="J15" s="13"/>
      <c r="K15" s="17" t="s">
        <v>26</v>
      </c>
      <c r="L15" s="13" t="s">
        <v>28</v>
      </c>
      <c r="M15" s="13" t="s">
        <v>28</v>
      </c>
      <c r="N15" s="13"/>
      <c r="O15" s="17" t="s">
        <v>85</v>
      </c>
      <c r="P15" s="13" t="s">
        <v>86</v>
      </c>
      <c r="Q15" s="13"/>
      <c r="R15" s="13"/>
      <c r="S15" s="12" t="str">
        <f>"655,0"</f>
        <v>655,0</v>
      </c>
      <c r="T15" s="17" t="str">
        <f>"420,0515"</f>
        <v>420,0515</v>
      </c>
      <c r="U15" s="12" t="s">
        <v>80</v>
      </c>
    </row>
    <row r="17" spans="1:21" ht="15" x14ac:dyDescent="0.2">
      <c r="A17" s="35" t="s">
        <v>58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1" x14ac:dyDescent="0.2">
      <c r="A18" s="9" t="s">
        <v>175</v>
      </c>
      <c r="B18" s="9" t="s">
        <v>176</v>
      </c>
      <c r="C18" s="9" t="s">
        <v>177</v>
      </c>
      <c r="D18" s="9" t="str">
        <f>"0,6086"</f>
        <v>0,6086</v>
      </c>
      <c r="E18" s="9" t="s">
        <v>18</v>
      </c>
      <c r="F18" s="9" t="s">
        <v>36</v>
      </c>
      <c r="G18" s="10" t="s">
        <v>44</v>
      </c>
      <c r="H18" s="10" t="s">
        <v>178</v>
      </c>
      <c r="I18" s="11" t="s">
        <v>179</v>
      </c>
      <c r="J18" s="11"/>
      <c r="K18" s="10" t="s">
        <v>67</v>
      </c>
      <c r="L18" s="10" t="s">
        <v>26</v>
      </c>
      <c r="M18" s="11" t="s">
        <v>76</v>
      </c>
      <c r="N18" s="11"/>
      <c r="O18" s="10" t="s">
        <v>85</v>
      </c>
      <c r="P18" s="10" t="s">
        <v>86</v>
      </c>
      <c r="Q18" s="10" t="s">
        <v>87</v>
      </c>
      <c r="R18" s="11"/>
      <c r="S18" s="9" t="str">
        <f>"695,0"</f>
        <v>695,0</v>
      </c>
      <c r="T18" s="10" t="str">
        <f>"422,9770"</f>
        <v>422,9770</v>
      </c>
      <c r="U18" s="9" t="s">
        <v>180</v>
      </c>
    </row>
    <row r="19" spans="1:21" x14ac:dyDescent="0.2">
      <c r="A19" s="14" t="s">
        <v>182</v>
      </c>
      <c r="B19" s="14" t="s">
        <v>183</v>
      </c>
      <c r="C19" s="14" t="s">
        <v>184</v>
      </c>
      <c r="D19" s="14" t="str">
        <f>"0,6144"</f>
        <v>0,6144</v>
      </c>
      <c r="E19" s="14" t="s">
        <v>18</v>
      </c>
      <c r="F19" s="14" t="s">
        <v>185</v>
      </c>
      <c r="G19" s="15" t="s">
        <v>186</v>
      </c>
      <c r="H19" s="15" t="s">
        <v>178</v>
      </c>
      <c r="I19" s="15" t="s">
        <v>179</v>
      </c>
      <c r="J19" s="16"/>
      <c r="K19" s="15" t="s">
        <v>21</v>
      </c>
      <c r="L19" s="15" t="s">
        <v>67</v>
      </c>
      <c r="M19" s="15" t="s">
        <v>38</v>
      </c>
      <c r="N19" s="16"/>
      <c r="O19" s="15" t="s">
        <v>178</v>
      </c>
      <c r="P19" s="16" t="s">
        <v>85</v>
      </c>
      <c r="Q19" s="16"/>
      <c r="R19" s="16"/>
      <c r="S19" s="14" t="str">
        <f>"672,5"</f>
        <v>672,5</v>
      </c>
      <c r="T19" s="15" t="str">
        <f>"413,1840"</f>
        <v>413,1840</v>
      </c>
      <c r="U19" s="14" t="s">
        <v>187</v>
      </c>
    </row>
    <row r="20" spans="1:21" x14ac:dyDescent="0.2">
      <c r="A20" s="12" t="s">
        <v>189</v>
      </c>
      <c r="B20" s="12" t="s">
        <v>190</v>
      </c>
      <c r="C20" s="12" t="s">
        <v>191</v>
      </c>
      <c r="D20" s="12" t="str">
        <f>"0,6217"</f>
        <v>0,6217</v>
      </c>
      <c r="E20" s="12" t="s">
        <v>35</v>
      </c>
      <c r="F20" s="12" t="s">
        <v>192</v>
      </c>
      <c r="G20" s="17" t="s">
        <v>51</v>
      </c>
      <c r="H20" s="13" t="s">
        <v>53</v>
      </c>
      <c r="I20" s="13" t="s">
        <v>193</v>
      </c>
      <c r="J20" s="13"/>
      <c r="K20" s="17" t="s">
        <v>67</v>
      </c>
      <c r="L20" s="17" t="s">
        <v>37</v>
      </c>
      <c r="M20" s="13" t="s">
        <v>26</v>
      </c>
      <c r="N20" s="13"/>
      <c r="O20" s="17" t="s">
        <v>43</v>
      </c>
      <c r="P20" s="17" t="s">
        <v>52</v>
      </c>
      <c r="Q20" s="13" t="s">
        <v>186</v>
      </c>
      <c r="R20" s="13"/>
      <c r="S20" s="12" t="str">
        <f>"595,0"</f>
        <v>595,0</v>
      </c>
      <c r="T20" s="17" t="str">
        <f>"373,6106"</f>
        <v>373,6106</v>
      </c>
      <c r="U20" s="12" t="s">
        <v>194</v>
      </c>
    </row>
    <row r="22" spans="1:21" ht="15" x14ac:dyDescent="0.2">
      <c r="A22" s="35" t="s">
        <v>93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1" x14ac:dyDescent="0.2">
      <c r="A23" s="9" t="s">
        <v>196</v>
      </c>
      <c r="B23" s="9" t="s">
        <v>197</v>
      </c>
      <c r="C23" s="9" t="s">
        <v>198</v>
      </c>
      <c r="D23" s="9" t="str">
        <f>"0,5761"</f>
        <v>0,5761</v>
      </c>
      <c r="E23" s="9" t="s">
        <v>18</v>
      </c>
      <c r="F23" s="9" t="s">
        <v>199</v>
      </c>
      <c r="G23" s="10" t="s">
        <v>52</v>
      </c>
      <c r="H23" s="10" t="s">
        <v>178</v>
      </c>
      <c r="I23" s="10" t="s">
        <v>85</v>
      </c>
      <c r="J23" s="11"/>
      <c r="K23" s="10" t="s">
        <v>42</v>
      </c>
      <c r="L23" s="10" t="s">
        <v>51</v>
      </c>
      <c r="M23" s="10" t="s">
        <v>149</v>
      </c>
      <c r="N23" s="11"/>
      <c r="O23" s="10" t="s">
        <v>87</v>
      </c>
      <c r="P23" s="10" t="s">
        <v>200</v>
      </c>
      <c r="Q23" s="11" t="s">
        <v>201</v>
      </c>
      <c r="R23" s="11"/>
      <c r="S23" s="9" t="str">
        <f>"765,0"</f>
        <v>765,0</v>
      </c>
      <c r="T23" s="10" t="str">
        <f>"440,7165"</f>
        <v>440,7165</v>
      </c>
      <c r="U23" s="9" t="s">
        <v>80</v>
      </c>
    </row>
    <row r="24" spans="1:21" x14ac:dyDescent="0.2">
      <c r="A24" s="14" t="s">
        <v>196</v>
      </c>
      <c r="B24" s="14" t="s">
        <v>202</v>
      </c>
      <c r="C24" s="14" t="s">
        <v>198</v>
      </c>
      <c r="D24" s="14" t="str">
        <f>"0,5761"</f>
        <v>0,5761</v>
      </c>
      <c r="E24" s="14" t="s">
        <v>18</v>
      </c>
      <c r="F24" s="14" t="s">
        <v>199</v>
      </c>
      <c r="G24" s="15" t="s">
        <v>52</v>
      </c>
      <c r="H24" s="15" t="s">
        <v>178</v>
      </c>
      <c r="I24" s="15" t="s">
        <v>85</v>
      </c>
      <c r="J24" s="16"/>
      <c r="K24" s="15" t="s">
        <v>42</v>
      </c>
      <c r="L24" s="15" t="s">
        <v>51</v>
      </c>
      <c r="M24" s="15" t="s">
        <v>149</v>
      </c>
      <c r="N24" s="16"/>
      <c r="O24" s="15" t="s">
        <v>87</v>
      </c>
      <c r="P24" s="15" t="s">
        <v>200</v>
      </c>
      <c r="Q24" s="16" t="s">
        <v>201</v>
      </c>
      <c r="R24" s="16"/>
      <c r="S24" s="14" t="str">
        <f>"765,0"</f>
        <v>765,0</v>
      </c>
      <c r="T24" s="15" t="str">
        <f>"440,7165"</f>
        <v>440,7165</v>
      </c>
      <c r="U24" s="14" t="s">
        <v>80</v>
      </c>
    </row>
    <row r="25" spans="1:21" x14ac:dyDescent="0.2">
      <c r="A25" s="12" t="s">
        <v>204</v>
      </c>
      <c r="B25" s="12" t="s">
        <v>205</v>
      </c>
      <c r="C25" s="12" t="s">
        <v>206</v>
      </c>
      <c r="D25" s="12" t="str">
        <f>"0,5724"</f>
        <v>0,5724</v>
      </c>
      <c r="E25" s="12" t="s">
        <v>18</v>
      </c>
      <c r="F25" s="12" t="s">
        <v>36</v>
      </c>
      <c r="G25" s="17" t="s">
        <v>53</v>
      </c>
      <c r="H25" s="17" t="s">
        <v>52</v>
      </c>
      <c r="I25" s="17" t="s">
        <v>179</v>
      </c>
      <c r="J25" s="13"/>
      <c r="K25" s="17" t="s">
        <v>22</v>
      </c>
      <c r="L25" s="17" t="s">
        <v>37</v>
      </c>
      <c r="M25" s="17" t="s">
        <v>28</v>
      </c>
      <c r="N25" s="13"/>
      <c r="O25" s="17" t="s">
        <v>85</v>
      </c>
      <c r="P25" s="17" t="s">
        <v>86</v>
      </c>
      <c r="Q25" s="13" t="s">
        <v>87</v>
      </c>
      <c r="R25" s="13"/>
      <c r="S25" s="12" t="str">
        <f>"705,0"</f>
        <v>705,0</v>
      </c>
      <c r="T25" s="17" t="str">
        <f>"403,5420"</f>
        <v>403,5420</v>
      </c>
      <c r="U25" s="12" t="s">
        <v>207</v>
      </c>
    </row>
    <row r="27" spans="1:21" ht="15" x14ac:dyDescent="0.2">
      <c r="E27" s="18" t="s">
        <v>102</v>
      </c>
    </row>
    <row r="28" spans="1:21" ht="15" x14ac:dyDescent="0.2">
      <c r="E28" s="18" t="s">
        <v>103</v>
      </c>
    </row>
    <row r="29" spans="1:21" ht="15" x14ac:dyDescent="0.2">
      <c r="E29" s="18" t="s">
        <v>104</v>
      </c>
    </row>
    <row r="30" spans="1:21" ht="15" x14ac:dyDescent="0.2">
      <c r="E30" s="18" t="s">
        <v>105</v>
      </c>
    </row>
    <row r="31" spans="1:21" ht="15" x14ac:dyDescent="0.2">
      <c r="E31" s="18" t="s">
        <v>105</v>
      </c>
    </row>
    <row r="32" spans="1:21" ht="15" x14ac:dyDescent="0.2">
      <c r="E32" s="18" t="s">
        <v>106</v>
      </c>
    </row>
    <row r="33" spans="1:5" ht="15" x14ac:dyDescent="0.2">
      <c r="E33" s="18"/>
    </row>
    <row r="35" spans="1:5" ht="18" x14ac:dyDescent="0.25">
      <c r="A35" s="19" t="s">
        <v>107</v>
      </c>
      <c r="B35" s="19"/>
    </row>
    <row r="36" spans="1:5" ht="15" x14ac:dyDescent="0.2">
      <c r="A36" s="20" t="s">
        <v>118</v>
      </c>
      <c r="B36" s="20"/>
    </row>
    <row r="37" spans="1:5" ht="14.25" x14ac:dyDescent="0.2">
      <c r="A37" s="22"/>
      <c r="B37" s="23" t="s">
        <v>208</v>
      </c>
    </row>
    <row r="38" spans="1:5" ht="15" x14ac:dyDescent="0.2">
      <c r="A38" s="24" t="s">
        <v>110</v>
      </c>
      <c r="B38" s="24" t="s">
        <v>111</v>
      </c>
      <c r="C38" s="24" t="s">
        <v>112</v>
      </c>
      <c r="D38" s="24" t="s">
        <v>113</v>
      </c>
      <c r="E38" s="24" t="s">
        <v>114</v>
      </c>
    </row>
    <row r="39" spans="1:5" x14ac:dyDescent="0.2">
      <c r="A39" s="21" t="s">
        <v>195</v>
      </c>
      <c r="B39" s="4" t="s">
        <v>209</v>
      </c>
      <c r="C39" s="4" t="s">
        <v>124</v>
      </c>
      <c r="D39" s="4" t="s">
        <v>210</v>
      </c>
      <c r="E39" s="25" t="s">
        <v>211</v>
      </c>
    </row>
    <row r="41" spans="1:5" ht="14.25" x14ac:dyDescent="0.2">
      <c r="A41" s="22"/>
      <c r="B41" s="23" t="s">
        <v>109</v>
      </c>
    </row>
    <row r="42" spans="1:5" ht="15" x14ac:dyDescent="0.2">
      <c r="A42" s="24" t="s">
        <v>110</v>
      </c>
      <c r="B42" s="24" t="s">
        <v>111</v>
      </c>
      <c r="C42" s="24" t="s">
        <v>112</v>
      </c>
      <c r="D42" s="24" t="s">
        <v>113</v>
      </c>
      <c r="E42" s="24" t="s">
        <v>114</v>
      </c>
    </row>
    <row r="43" spans="1:5" x14ac:dyDescent="0.2">
      <c r="A43" s="21" t="s">
        <v>138</v>
      </c>
      <c r="B43" s="4" t="s">
        <v>109</v>
      </c>
      <c r="C43" s="4" t="s">
        <v>212</v>
      </c>
      <c r="D43" s="4" t="s">
        <v>213</v>
      </c>
      <c r="E43" s="25" t="s">
        <v>214</v>
      </c>
    </row>
    <row r="44" spans="1:5" x14ac:dyDescent="0.2">
      <c r="A44" s="21" t="s">
        <v>195</v>
      </c>
      <c r="B44" s="4" t="s">
        <v>109</v>
      </c>
      <c r="C44" s="4" t="s">
        <v>124</v>
      </c>
      <c r="D44" s="4" t="s">
        <v>210</v>
      </c>
      <c r="E44" s="25" t="s">
        <v>211</v>
      </c>
    </row>
    <row r="45" spans="1:5" x14ac:dyDescent="0.2">
      <c r="A45" s="21" t="s">
        <v>160</v>
      </c>
      <c r="B45" s="4" t="s">
        <v>109</v>
      </c>
      <c r="C45" s="4" t="s">
        <v>131</v>
      </c>
      <c r="D45" s="4" t="s">
        <v>215</v>
      </c>
      <c r="E45" s="25" t="s">
        <v>216</v>
      </c>
    </row>
    <row r="46" spans="1:5" x14ac:dyDescent="0.2">
      <c r="A46" s="21" t="s">
        <v>174</v>
      </c>
      <c r="B46" s="4" t="s">
        <v>109</v>
      </c>
      <c r="C46" s="4" t="s">
        <v>121</v>
      </c>
      <c r="D46" s="4" t="s">
        <v>217</v>
      </c>
      <c r="E46" s="25" t="s">
        <v>218</v>
      </c>
    </row>
    <row r="47" spans="1:5" x14ac:dyDescent="0.2">
      <c r="A47" s="21" t="s">
        <v>170</v>
      </c>
      <c r="B47" s="4" t="s">
        <v>109</v>
      </c>
      <c r="C47" s="4" t="s">
        <v>131</v>
      </c>
      <c r="D47" s="4" t="s">
        <v>219</v>
      </c>
      <c r="E47" s="25" t="s">
        <v>220</v>
      </c>
    </row>
    <row r="48" spans="1:5" x14ac:dyDescent="0.2">
      <c r="A48" s="21" t="s">
        <v>181</v>
      </c>
      <c r="B48" s="4" t="s">
        <v>109</v>
      </c>
      <c r="C48" s="4" t="s">
        <v>121</v>
      </c>
      <c r="D48" s="4" t="s">
        <v>221</v>
      </c>
      <c r="E48" s="25" t="s">
        <v>222</v>
      </c>
    </row>
    <row r="49" spans="1:5" x14ac:dyDescent="0.2">
      <c r="A49" s="21" t="s">
        <v>203</v>
      </c>
      <c r="B49" s="4" t="s">
        <v>109</v>
      </c>
      <c r="C49" s="4" t="s">
        <v>124</v>
      </c>
      <c r="D49" s="4" t="s">
        <v>223</v>
      </c>
      <c r="E49" s="25" t="s">
        <v>224</v>
      </c>
    </row>
    <row r="50" spans="1:5" x14ac:dyDescent="0.2">
      <c r="A50" s="21" t="s">
        <v>151</v>
      </c>
      <c r="B50" s="4" t="s">
        <v>109</v>
      </c>
      <c r="C50" s="4" t="s">
        <v>134</v>
      </c>
      <c r="D50" s="4" t="s">
        <v>225</v>
      </c>
      <c r="E50" s="25" t="s">
        <v>226</v>
      </c>
    </row>
    <row r="52" spans="1:5" ht="14.25" x14ac:dyDescent="0.2">
      <c r="A52" s="22"/>
      <c r="B52" s="23" t="s">
        <v>227</v>
      </c>
    </row>
    <row r="53" spans="1:5" ht="15" x14ac:dyDescent="0.2">
      <c r="A53" s="24" t="s">
        <v>110</v>
      </c>
      <c r="B53" s="24" t="s">
        <v>111</v>
      </c>
      <c r="C53" s="24" t="s">
        <v>112</v>
      </c>
      <c r="D53" s="24" t="s">
        <v>113</v>
      </c>
      <c r="E53" s="24" t="s">
        <v>114</v>
      </c>
    </row>
    <row r="54" spans="1:5" x14ac:dyDescent="0.2">
      <c r="A54" s="21" t="s">
        <v>188</v>
      </c>
      <c r="B54" s="4" t="s">
        <v>228</v>
      </c>
      <c r="C54" s="4" t="s">
        <v>121</v>
      </c>
      <c r="D54" s="4" t="s">
        <v>213</v>
      </c>
      <c r="E54" s="25" t="s">
        <v>229</v>
      </c>
    </row>
  </sheetData>
  <mergeCells count="18">
    <mergeCell ref="A17:T17"/>
    <mergeCell ref="A22:T22"/>
    <mergeCell ref="S3:S4"/>
    <mergeCell ref="T3:T4"/>
    <mergeCell ref="U3:U4"/>
    <mergeCell ref="A5:T5"/>
    <mergeCell ref="A8:T8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140625" style="4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12.28515625" style="4" bestFit="1" customWidth="1"/>
    <col min="14" max="16384" width="9.140625" style="3"/>
  </cols>
  <sheetData>
    <row r="1" spans="1:13" s="2" customFormat="1" ht="29.1" customHeight="1" x14ac:dyDescent="0.2">
      <c r="A1" s="39" t="s">
        <v>1570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11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9" t="s">
        <v>629</v>
      </c>
      <c r="B6" s="9" t="s">
        <v>750</v>
      </c>
      <c r="C6" s="9" t="s">
        <v>631</v>
      </c>
      <c r="D6" s="9" t="str">
        <f>"0,7221"</f>
        <v>0,7221</v>
      </c>
      <c r="E6" s="9" t="s">
        <v>18</v>
      </c>
      <c r="F6" s="9" t="s">
        <v>36</v>
      </c>
      <c r="G6" s="10" t="s">
        <v>65</v>
      </c>
      <c r="H6" s="10" t="s">
        <v>25</v>
      </c>
      <c r="I6" s="11"/>
      <c r="J6" s="11"/>
      <c r="K6" s="9" t="str">
        <f>"87,5"</f>
        <v>87,5</v>
      </c>
      <c r="L6" s="10" t="str">
        <f>"63,1838"</f>
        <v>63,1838</v>
      </c>
      <c r="M6" s="9" t="s">
        <v>80</v>
      </c>
    </row>
    <row r="7" spans="1:13" x14ac:dyDescent="0.2">
      <c r="A7" s="12" t="s">
        <v>629</v>
      </c>
      <c r="B7" s="12" t="s">
        <v>630</v>
      </c>
      <c r="C7" s="12" t="s">
        <v>631</v>
      </c>
      <c r="D7" s="12" t="str">
        <f>"0,7221"</f>
        <v>0,7221</v>
      </c>
      <c r="E7" s="12" t="s">
        <v>18</v>
      </c>
      <c r="F7" s="12" t="s">
        <v>36</v>
      </c>
      <c r="G7" s="17" t="s">
        <v>65</v>
      </c>
      <c r="H7" s="17" t="s">
        <v>25</v>
      </c>
      <c r="I7" s="13"/>
      <c r="J7" s="13"/>
      <c r="K7" s="12" t="str">
        <f>"87,5"</f>
        <v>87,5</v>
      </c>
      <c r="L7" s="17" t="str">
        <f>"89,7841"</f>
        <v>89,7841</v>
      </c>
      <c r="M7" s="12" t="s">
        <v>80</v>
      </c>
    </row>
    <row r="9" spans="1:13" ht="15" x14ac:dyDescent="0.2">
      <c r="A9" s="35" t="s">
        <v>46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3" x14ac:dyDescent="0.2">
      <c r="A10" s="6" t="s">
        <v>752</v>
      </c>
      <c r="B10" s="6" t="s">
        <v>753</v>
      </c>
      <c r="C10" s="6" t="s">
        <v>754</v>
      </c>
      <c r="D10" s="6" t="str">
        <f>"0,6436"</f>
        <v>0,6436</v>
      </c>
      <c r="E10" s="6" t="s">
        <v>18</v>
      </c>
      <c r="F10" s="6" t="s">
        <v>755</v>
      </c>
      <c r="G10" s="7" t="s">
        <v>53</v>
      </c>
      <c r="H10" s="8" t="s">
        <v>157</v>
      </c>
      <c r="I10" s="8" t="s">
        <v>157</v>
      </c>
      <c r="J10" s="8"/>
      <c r="K10" s="6" t="str">
        <f>"210,0"</f>
        <v>210,0</v>
      </c>
      <c r="L10" s="7" t="str">
        <f>"135,1560"</f>
        <v>135,1560</v>
      </c>
      <c r="M10" s="6" t="s">
        <v>80</v>
      </c>
    </row>
    <row r="12" spans="1:13" ht="15" x14ac:dyDescent="0.2">
      <c r="A12" s="35" t="s">
        <v>58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3" x14ac:dyDescent="0.2">
      <c r="A13" s="9" t="s">
        <v>757</v>
      </c>
      <c r="B13" s="9" t="s">
        <v>758</v>
      </c>
      <c r="C13" s="9" t="s">
        <v>759</v>
      </c>
      <c r="D13" s="9" t="str">
        <f>"0,6238"</f>
        <v>0,6238</v>
      </c>
      <c r="E13" s="9" t="s">
        <v>18</v>
      </c>
      <c r="F13" s="9" t="s">
        <v>280</v>
      </c>
      <c r="G13" s="10" t="s">
        <v>142</v>
      </c>
      <c r="H13" s="11" t="s">
        <v>143</v>
      </c>
      <c r="I13" s="11" t="s">
        <v>143</v>
      </c>
      <c r="J13" s="11"/>
      <c r="K13" s="9" t="str">
        <f>"240,0"</f>
        <v>240,0</v>
      </c>
      <c r="L13" s="10" t="str">
        <f>"149,7120"</f>
        <v>149,7120</v>
      </c>
      <c r="M13" s="9" t="s">
        <v>187</v>
      </c>
    </row>
    <row r="14" spans="1:13" x14ac:dyDescent="0.2">
      <c r="A14" s="14" t="s">
        <v>760</v>
      </c>
      <c r="B14" s="14" t="s">
        <v>183</v>
      </c>
      <c r="C14" s="14" t="s">
        <v>184</v>
      </c>
      <c r="D14" s="14" t="str">
        <f>"0,6144"</f>
        <v>0,6144</v>
      </c>
      <c r="E14" s="14" t="s">
        <v>18</v>
      </c>
      <c r="F14" s="14" t="s">
        <v>185</v>
      </c>
      <c r="G14" s="16" t="s">
        <v>52</v>
      </c>
      <c r="H14" s="16"/>
      <c r="I14" s="16"/>
      <c r="J14" s="16"/>
      <c r="K14" s="14" t="str">
        <f>"0.00"</f>
        <v>0.00</v>
      </c>
      <c r="L14" s="15" t="str">
        <f>"0,0000"</f>
        <v>0,0000</v>
      </c>
      <c r="M14" s="14" t="s">
        <v>187</v>
      </c>
    </row>
    <row r="15" spans="1:13" x14ac:dyDescent="0.2">
      <c r="A15" s="12" t="s">
        <v>757</v>
      </c>
      <c r="B15" s="12" t="s">
        <v>761</v>
      </c>
      <c r="C15" s="12" t="s">
        <v>759</v>
      </c>
      <c r="D15" s="12" t="str">
        <f>"0,6238"</f>
        <v>0,6238</v>
      </c>
      <c r="E15" s="12" t="s">
        <v>18</v>
      </c>
      <c r="F15" s="12" t="s">
        <v>280</v>
      </c>
      <c r="G15" s="17" t="s">
        <v>142</v>
      </c>
      <c r="H15" s="13" t="s">
        <v>143</v>
      </c>
      <c r="I15" s="13" t="s">
        <v>143</v>
      </c>
      <c r="J15" s="13"/>
      <c r="K15" s="12" t="str">
        <f>"240,0"</f>
        <v>240,0</v>
      </c>
      <c r="L15" s="17" t="str">
        <f>"159,8924"</f>
        <v>159,8924</v>
      </c>
      <c r="M15" s="12" t="s">
        <v>187</v>
      </c>
    </row>
    <row r="17" spans="1:13" ht="15" x14ac:dyDescent="0.2">
      <c r="A17" s="35" t="s">
        <v>253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3" x14ac:dyDescent="0.2">
      <c r="A18" s="9" t="s">
        <v>763</v>
      </c>
      <c r="B18" s="9" t="s">
        <v>764</v>
      </c>
      <c r="C18" s="9" t="s">
        <v>765</v>
      </c>
      <c r="D18" s="9" t="str">
        <f>"0,5914"</f>
        <v>0,5914</v>
      </c>
      <c r="E18" s="9" t="s">
        <v>18</v>
      </c>
      <c r="F18" s="9" t="s">
        <v>280</v>
      </c>
      <c r="G18" s="10" t="s">
        <v>246</v>
      </c>
      <c r="H18" s="11" t="s">
        <v>247</v>
      </c>
      <c r="I18" s="11" t="s">
        <v>247</v>
      </c>
      <c r="J18" s="11"/>
      <c r="K18" s="9" t="str">
        <f>"262,5"</f>
        <v>262,5</v>
      </c>
      <c r="L18" s="10" t="str">
        <f>"155,2425"</f>
        <v>155,2425</v>
      </c>
      <c r="M18" s="9" t="s">
        <v>766</v>
      </c>
    </row>
    <row r="19" spans="1:13" x14ac:dyDescent="0.2">
      <c r="A19" s="12" t="s">
        <v>767</v>
      </c>
      <c r="B19" s="12" t="s">
        <v>768</v>
      </c>
      <c r="C19" s="12" t="s">
        <v>769</v>
      </c>
      <c r="D19" s="12" t="str">
        <f>"0,5972"</f>
        <v>0,5972</v>
      </c>
      <c r="E19" s="12" t="s">
        <v>375</v>
      </c>
      <c r="F19" s="12" t="s">
        <v>36</v>
      </c>
      <c r="G19" s="13" t="s">
        <v>401</v>
      </c>
      <c r="H19" s="13" t="s">
        <v>401</v>
      </c>
      <c r="I19" s="13" t="s">
        <v>401</v>
      </c>
      <c r="J19" s="13"/>
      <c r="K19" s="12" t="str">
        <f>"0.00"</f>
        <v>0.00</v>
      </c>
      <c r="L19" s="17" t="str">
        <f>"0,0000"</f>
        <v>0,0000</v>
      </c>
      <c r="M19" s="12" t="s">
        <v>770</v>
      </c>
    </row>
    <row r="21" spans="1:13" ht="15" x14ac:dyDescent="0.2">
      <c r="A21" s="35" t="s">
        <v>93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3" x14ac:dyDescent="0.2">
      <c r="A22" s="9" t="s">
        <v>772</v>
      </c>
      <c r="B22" s="9" t="s">
        <v>773</v>
      </c>
      <c r="C22" s="9" t="s">
        <v>774</v>
      </c>
      <c r="D22" s="9" t="str">
        <f>"0,5834"</f>
        <v>0,5834</v>
      </c>
      <c r="E22" s="9" t="s">
        <v>35</v>
      </c>
      <c r="F22" s="9" t="s">
        <v>723</v>
      </c>
      <c r="G22" s="10" t="s">
        <v>259</v>
      </c>
      <c r="H22" s="10" t="s">
        <v>250</v>
      </c>
      <c r="I22" s="11" t="s">
        <v>87</v>
      </c>
      <c r="J22" s="11"/>
      <c r="K22" s="9" t="str">
        <f>"272,5"</f>
        <v>272,5</v>
      </c>
      <c r="L22" s="10" t="str">
        <f>"158,9765"</f>
        <v>158,9765</v>
      </c>
      <c r="M22" s="9" t="s">
        <v>80</v>
      </c>
    </row>
    <row r="23" spans="1:13" x14ac:dyDescent="0.2">
      <c r="A23" s="14" t="s">
        <v>775</v>
      </c>
      <c r="B23" s="14" t="s">
        <v>776</v>
      </c>
      <c r="C23" s="14" t="s">
        <v>777</v>
      </c>
      <c r="D23" s="14" t="str">
        <f>"0,5805"</f>
        <v>0,5805</v>
      </c>
      <c r="E23" s="14" t="s">
        <v>18</v>
      </c>
      <c r="F23" s="14" t="s">
        <v>36</v>
      </c>
      <c r="G23" s="16" t="s">
        <v>259</v>
      </c>
      <c r="H23" s="16" t="s">
        <v>259</v>
      </c>
      <c r="I23" s="16" t="s">
        <v>259</v>
      </c>
      <c r="J23" s="16"/>
      <c r="K23" s="14" t="str">
        <f>"0.00"</f>
        <v>0.00</v>
      </c>
      <c r="L23" s="15" t="str">
        <f>"0,0000"</f>
        <v>0,0000</v>
      </c>
      <c r="M23" s="14" t="s">
        <v>778</v>
      </c>
    </row>
    <row r="24" spans="1:13" x14ac:dyDescent="0.2">
      <c r="A24" s="12" t="s">
        <v>775</v>
      </c>
      <c r="B24" s="12" t="s">
        <v>779</v>
      </c>
      <c r="C24" s="12" t="s">
        <v>777</v>
      </c>
      <c r="D24" s="12" t="str">
        <f>"0,5805"</f>
        <v>0,5805</v>
      </c>
      <c r="E24" s="12" t="s">
        <v>18</v>
      </c>
      <c r="F24" s="12" t="s">
        <v>36</v>
      </c>
      <c r="G24" s="13" t="s">
        <v>259</v>
      </c>
      <c r="H24" s="13" t="s">
        <v>259</v>
      </c>
      <c r="I24" s="13" t="s">
        <v>259</v>
      </c>
      <c r="J24" s="13"/>
      <c r="K24" s="12" t="str">
        <f>"0.00"</f>
        <v>0.00</v>
      </c>
      <c r="L24" s="17" t="str">
        <f>"0,0000"</f>
        <v>0,0000</v>
      </c>
      <c r="M24" s="12" t="s">
        <v>778</v>
      </c>
    </row>
    <row r="26" spans="1:13" ht="15" x14ac:dyDescent="0.2">
      <c r="A26" s="35" t="s">
        <v>557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3" x14ac:dyDescent="0.2">
      <c r="A27" s="6" t="s">
        <v>781</v>
      </c>
      <c r="B27" s="6" t="s">
        <v>782</v>
      </c>
      <c r="C27" s="6" t="s">
        <v>783</v>
      </c>
      <c r="D27" s="6" t="str">
        <f>"0,5636"</f>
        <v>0,5636</v>
      </c>
      <c r="E27" s="6" t="s">
        <v>18</v>
      </c>
      <c r="F27" s="6" t="s">
        <v>36</v>
      </c>
      <c r="G27" s="7" t="s">
        <v>79</v>
      </c>
      <c r="H27" s="8" t="s">
        <v>91</v>
      </c>
      <c r="I27" s="8" t="s">
        <v>91</v>
      </c>
      <c r="J27" s="8"/>
      <c r="K27" s="6" t="str">
        <f>"305,0"</f>
        <v>305,0</v>
      </c>
      <c r="L27" s="7" t="str">
        <f>"194,2447"</f>
        <v>194,2447</v>
      </c>
      <c r="M27" s="6" t="s">
        <v>80</v>
      </c>
    </row>
    <row r="29" spans="1:13" ht="15" x14ac:dyDescent="0.2">
      <c r="E29" s="18" t="s">
        <v>102</v>
      </c>
    </row>
    <row r="30" spans="1:13" ht="15" x14ac:dyDescent="0.2">
      <c r="E30" s="18" t="s">
        <v>103</v>
      </c>
    </row>
    <row r="31" spans="1:13" ht="15" x14ac:dyDescent="0.2">
      <c r="E31" s="18" t="s">
        <v>104</v>
      </c>
    </row>
    <row r="32" spans="1:13" ht="15" x14ac:dyDescent="0.2">
      <c r="E32" s="18" t="s">
        <v>105</v>
      </c>
    </row>
    <row r="33" spans="1:5" ht="15" x14ac:dyDescent="0.2">
      <c r="E33" s="18" t="s">
        <v>105</v>
      </c>
    </row>
    <row r="34" spans="1:5" ht="15" x14ac:dyDescent="0.2">
      <c r="E34" s="18" t="s">
        <v>106</v>
      </c>
    </row>
    <row r="35" spans="1:5" ht="15" x14ac:dyDescent="0.2">
      <c r="E35" s="18"/>
    </row>
    <row r="37" spans="1:5" ht="18" x14ac:dyDescent="0.25">
      <c r="A37" s="19" t="s">
        <v>107</v>
      </c>
      <c r="B37" s="19"/>
    </row>
    <row r="38" spans="1:5" ht="15" x14ac:dyDescent="0.2">
      <c r="A38" s="20" t="s">
        <v>118</v>
      </c>
      <c r="B38" s="20"/>
    </row>
    <row r="39" spans="1:5" ht="14.25" x14ac:dyDescent="0.2">
      <c r="A39" s="22"/>
      <c r="B39" s="23" t="s">
        <v>109</v>
      </c>
    </row>
    <row r="40" spans="1:5" ht="15" x14ac:dyDescent="0.2">
      <c r="A40" s="24" t="s">
        <v>110</v>
      </c>
      <c r="B40" s="24" t="s">
        <v>111</v>
      </c>
      <c r="C40" s="24" t="s">
        <v>112</v>
      </c>
      <c r="D40" s="24" t="s">
        <v>113</v>
      </c>
      <c r="E40" s="24" t="s">
        <v>114</v>
      </c>
    </row>
    <row r="41" spans="1:5" x14ac:dyDescent="0.2">
      <c r="A41" s="21" t="s">
        <v>771</v>
      </c>
      <c r="B41" s="4" t="s">
        <v>109</v>
      </c>
      <c r="C41" s="4" t="s">
        <v>124</v>
      </c>
      <c r="D41" s="4" t="s">
        <v>250</v>
      </c>
      <c r="E41" s="25" t="s">
        <v>784</v>
      </c>
    </row>
    <row r="42" spans="1:5" x14ac:dyDescent="0.2">
      <c r="A42" s="21" t="s">
        <v>762</v>
      </c>
      <c r="B42" s="4" t="s">
        <v>109</v>
      </c>
      <c r="C42" s="4" t="s">
        <v>262</v>
      </c>
      <c r="D42" s="4" t="s">
        <v>246</v>
      </c>
      <c r="E42" s="25" t="s">
        <v>785</v>
      </c>
    </row>
    <row r="43" spans="1:5" x14ac:dyDescent="0.2">
      <c r="A43" s="21" t="s">
        <v>756</v>
      </c>
      <c r="B43" s="4" t="s">
        <v>109</v>
      </c>
      <c r="C43" s="4" t="s">
        <v>121</v>
      </c>
      <c r="D43" s="4" t="s">
        <v>142</v>
      </c>
      <c r="E43" s="25" t="s">
        <v>786</v>
      </c>
    </row>
    <row r="44" spans="1:5" x14ac:dyDescent="0.2">
      <c r="A44" s="21" t="s">
        <v>751</v>
      </c>
      <c r="B44" s="4" t="s">
        <v>109</v>
      </c>
      <c r="C44" s="4" t="s">
        <v>131</v>
      </c>
      <c r="D44" s="4" t="s">
        <v>53</v>
      </c>
      <c r="E44" s="25" t="s">
        <v>787</v>
      </c>
    </row>
    <row r="45" spans="1:5" x14ac:dyDescent="0.2">
      <c r="A45" s="21" t="s">
        <v>628</v>
      </c>
      <c r="B45" s="4" t="s">
        <v>109</v>
      </c>
      <c r="C45" s="4" t="s">
        <v>115</v>
      </c>
      <c r="D45" s="4" t="s">
        <v>25</v>
      </c>
      <c r="E45" s="25" t="s">
        <v>788</v>
      </c>
    </row>
    <row r="47" spans="1:5" ht="14.25" x14ac:dyDescent="0.2">
      <c r="A47" s="22"/>
      <c r="B47" s="23" t="s">
        <v>227</v>
      </c>
    </row>
    <row r="48" spans="1:5" ht="15" x14ac:dyDescent="0.2">
      <c r="A48" s="24" t="s">
        <v>110</v>
      </c>
      <c r="B48" s="24" t="s">
        <v>111</v>
      </c>
      <c r="C48" s="24" t="s">
        <v>112</v>
      </c>
      <c r="D48" s="24" t="s">
        <v>113</v>
      </c>
      <c r="E48" s="24" t="s">
        <v>114</v>
      </c>
    </row>
    <row r="49" spans="1:5" x14ac:dyDescent="0.2">
      <c r="A49" s="21" t="s">
        <v>780</v>
      </c>
      <c r="B49" s="4" t="s">
        <v>403</v>
      </c>
      <c r="C49" s="4" t="s">
        <v>598</v>
      </c>
      <c r="D49" s="4" t="s">
        <v>79</v>
      </c>
      <c r="E49" s="25" t="s">
        <v>789</v>
      </c>
    </row>
    <row r="50" spans="1:5" x14ac:dyDescent="0.2">
      <c r="A50" s="21" t="s">
        <v>756</v>
      </c>
      <c r="B50" s="4" t="s">
        <v>399</v>
      </c>
      <c r="C50" s="4" t="s">
        <v>121</v>
      </c>
      <c r="D50" s="4" t="s">
        <v>142</v>
      </c>
      <c r="E50" s="25" t="s">
        <v>790</v>
      </c>
    </row>
    <row r="51" spans="1:5" x14ac:dyDescent="0.2">
      <c r="A51" s="21" t="s">
        <v>628</v>
      </c>
      <c r="B51" s="4" t="s">
        <v>420</v>
      </c>
      <c r="C51" s="4" t="s">
        <v>115</v>
      </c>
      <c r="D51" s="4" t="s">
        <v>25</v>
      </c>
      <c r="E51" s="25" t="s">
        <v>791</v>
      </c>
    </row>
  </sheetData>
  <mergeCells count="17">
    <mergeCell ref="A17:L17"/>
    <mergeCell ref="A21:L21"/>
    <mergeCell ref="A26:L26"/>
    <mergeCell ref="K3:K4"/>
    <mergeCell ref="L3:L4"/>
    <mergeCell ref="M3:M4"/>
    <mergeCell ref="A5:L5"/>
    <mergeCell ref="A9:L9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5.5703125" style="4" customWidth="1"/>
    <col min="4" max="4" width="8.42578125" style="4" bestFit="1" customWidth="1"/>
    <col min="5" max="5" width="22.7109375" style="4" bestFit="1" customWidth="1"/>
    <col min="6" max="6" width="33.2851562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28" style="4" bestFit="1" customWidth="1"/>
    <col min="14" max="16384" width="9.140625" style="3"/>
  </cols>
  <sheetData>
    <row r="1" spans="1:13" s="2" customFormat="1" ht="29.1" customHeight="1" x14ac:dyDescent="0.2">
      <c r="A1" s="39" t="s">
        <v>1571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11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30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612</v>
      </c>
      <c r="B6" s="6" t="s">
        <v>613</v>
      </c>
      <c r="C6" s="6" t="s">
        <v>614</v>
      </c>
      <c r="D6" s="6" t="str">
        <f>"0,9333"</f>
        <v>0,9333</v>
      </c>
      <c r="E6" s="6" t="s">
        <v>18</v>
      </c>
      <c r="F6" s="6" t="s">
        <v>615</v>
      </c>
      <c r="G6" s="7" t="s">
        <v>41</v>
      </c>
      <c r="H6" s="7" t="s">
        <v>270</v>
      </c>
      <c r="I6" s="8" t="s">
        <v>271</v>
      </c>
      <c r="J6" s="8"/>
      <c r="K6" s="6" t="str">
        <f>"120,0"</f>
        <v>120,0</v>
      </c>
      <c r="L6" s="7" t="str">
        <f>"111,9960"</f>
        <v>111,9960</v>
      </c>
      <c r="M6" s="6" t="s">
        <v>616</v>
      </c>
    </row>
    <row r="8" spans="1:13" ht="15" x14ac:dyDescent="0.2">
      <c r="A8" s="35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2">
      <c r="A9" s="9" t="s">
        <v>618</v>
      </c>
      <c r="B9" s="9" t="s">
        <v>619</v>
      </c>
      <c r="C9" s="9" t="s">
        <v>620</v>
      </c>
      <c r="D9" s="9" t="str">
        <f>"0,7552"</f>
        <v>0,7552</v>
      </c>
      <c r="E9" s="9" t="s">
        <v>18</v>
      </c>
      <c r="F9" s="9" t="s">
        <v>621</v>
      </c>
      <c r="G9" s="10" t="s">
        <v>297</v>
      </c>
      <c r="H9" s="10" t="s">
        <v>99</v>
      </c>
      <c r="I9" s="10" t="s">
        <v>303</v>
      </c>
      <c r="J9" s="11"/>
      <c r="K9" s="9" t="str">
        <f>"102,5"</f>
        <v>102,5</v>
      </c>
      <c r="L9" s="10" t="str">
        <f>"77,4080"</f>
        <v>77,4080</v>
      </c>
      <c r="M9" s="9" t="s">
        <v>169</v>
      </c>
    </row>
    <row r="10" spans="1:13" x14ac:dyDescent="0.2">
      <c r="A10" s="14" t="s">
        <v>623</v>
      </c>
      <c r="B10" s="14" t="s">
        <v>624</v>
      </c>
      <c r="C10" s="14" t="s">
        <v>625</v>
      </c>
      <c r="D10" s="14" t="str">
        <f>"0,7235"</f>
        <v>0,7235</v>
      </c>
      <c r="E10" s="14" t="s">
        <v>18</v>
      </c>
      <c r="F10" s="14" t="s">
        <v>626</v>
      </c>
      <c r="G10" s="15" t="s">
        <v>297</v>
      </c>
      <c r="H10" s="15" t="s">
        <v>100</v>
      </c>
      <c r="I10" s="16" t="s">
        <v>41</v>
      </c>
      <c r="J10" s="16"/>
      <c r="K10" s="14" t="str">
        <f>"110,0"</f>
        <v>110,0</v>
      </c>
      <c r="L10" s="15" t="str">
        <f>"79,5850"</f>
        <v>79,5850</v>
      </c>
      <c r="M10" s="14" t="s">
        <v>627</v>
      </c>
    </row>
    <row r="11" spans="1:13" x14ac:dyDescent="0.2">
      <c r="A11" s="14" t="s">
        <v>629</v>
      </c>
      <c r="B11" s="14" t="s">
        <v>630</v>
      </c>
      <c r="C11" s="14" t="s">
        <v>631</v>
      </c>
      <c r="D11" s="14" t="str">
        <f>"0,7221"</f>
        <v>0,7221</v>
      </c>
      <c r="E11" s="14" t="s">
        <v>18</v>
      </c>
      <c r="F11" s="14" t="s">
        <v>36</v>
      </c>
      <c r="G11" s="15" t="s">
        <v>65</v>
      </c>
      <c r="H11" s="15" t="s">
        <v>24</v>
      </c>
      <c r="I11" s="16" t="s">
        <v>25</v>
      </c>
      <c r="J11" s="16"/>
      <c r="K11" s="14" t="str">
        <f>"85,0"</f>
        <v>85,0</v>
      </c>
      <c r="L11" s="15" t="str">
        <f>"87,2189"</f>
        <v>87,2189</v>
      </c>
      <c r="M11" s="14" t="s">
        <v>80</v>
      </c>
    </row>
    <row r="12" spans="1:13" x14ac:dyDescent="0.2">
      <c r="A12" s="12" t="s">
        <v>633</v>
      </c>
      <c r="B12" s="12" t="s">
        <v>634</v>
      </c>
      <c r="C12" s="12" t="s">
        <v>635</v>
      </c>
      <c r="D12" s="12" t="str">
        <f>"0,7345"</f>
        <v>0,7345</v>
      </c>
      <c r="E12" s="12" t="s">
        <v>18</v>
      </c>
      <c r="F12" s="12" t="s">
        <v>36</v>
      </c>
      <c r="G12" s="17" t="s">
        <v>24</v>
      </c>
      <c r="H12" s="17" t="s">
        <v>284</v>
      </c>
      <c r="I12" s="17" t="s">
        <v>99</v>
      </c>
      <c r="J12" s="13"/>
      <c r="K12" s="12" t="str">
        <f>"100,0"</f>
        <v>100,0</v>
      </c>
      <c r="L12" s="17" t="str">
        <f>"120,8252"</f>
        <v>120,8252</v>
      </c>
      <c r="M12" s="12" t="s">
        <v>636</v>
      </c>
    </row>
    <row r="14" spans="1:13" ht="15" x14ac:dyDescent="0.2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3" x14ac:dyDescent="0.2">
      <c r="A15" s="9" t="s">
        <v>638</v>
      </c>
      <c r="B15" s="9" t="s">
        <v>639</v>
      </c>
      <c r="C15" s="9" t="s">
        <v>640</v>
      </c>
      <c r="D15" s="9" t="str">
        <f>"0,6975"</f>
        <v>0,6975</v>
      </c>
      <c r="E15" s="9" t="s">
        <v>35</v>
      </c>
      <c r="F15" s="9" t="s">
        <v>36</v>
      </c>
      <c r="G15" s="10" t="s">
        <v>100</v>
      </c>
      <c r="H15" s="10" t="s">
        <v>270</v>
      </c>
      <c r="I15" s="11" t="s">
        <v>461</v>
      </c>
      <c r="J15" s="11"/>
      <c r="K15" s="9" t="str">
        <f>"120,0"</f>
        <v>120,0</v>
      </c>
      <c r="L15" s="10" t="str">
        <f>"83,7000"</f>
        <v>83,7000</v>
      </c>
      <c r="M15" s="9" t="s">
        <v>641</v>
      </c>
    </row>
    <row r="16" spans="1:13" x14ac:dyDescent="0.2">
      <c r="A16" s="14" t="s">
        <v>643</v>
      </c>
      <c r="B16" s="14" t="s">
        <v>644</v>
      </c>
      <c r="C16" s="14" t="s">
        <v>645</v>
      </c>
      <c r="D16" s="14" t="str">
        <f>"0,6749"</f>
        <v>0,6749</v>
      </c>
      <c r="E16" s="14" t="s">
        <v>18</v>
      </c>
      <c r="F16" s="14" t="s">
        <v>646</v>
      </c>
      <c r="G16" s="15" t="s">
        <v>297</v>
      </c>
      <c r="H16" s="15" t="s">
        <v>99</v>
      </c>
      <c r="I16" s="16" t="s">
        <v>303</v>
      </c>
      <c r="J16" s="16"/>
      <c r="K16" s="14" t="str">
        <f>"100,0"</f>
        <v>100,0</v>
      </c>
      <c r="L16" s="15" t="str">
        <f>"67,4900"</f>
        <v>67,4900</v>
      </c>
      <c r="M16" s="14" t="s">
        <v>169</v>
      </c>
    </row>
    <row r="17" spans="1:13" x14ac:dyDescent="0.2">
      <c r="A17" s="14" t="s">
        <v>648</v>
      </c>
      <c r="B17" s="14" t="s">
        <v>649</v>
      </c>
      <c r="C17" s="14" t="s">
        <v>650</v>
      </c>
      <c r="D17" s="14" t="str">
        <f>"0,6838"</f>
        <v>0,6838</v>
      </c>
      <c r="E17" s="14" t="s">
        <v>18</v>
      </c>
      <c r="F17" s="14" t="s">
        <v>651</v>
      </c>
      <c r="G17" s="15" t="s">
        <v>555</v>
      </c>
      <c r="H17" s="15" t="s">
        <v>98</v>
      </c>
      <c r="I17" s="15" t="s">
        <v>20</v>
      </c>
      <c r="J17" s="16"/>
      <c r="K17" s="14" t="str">
        <f>"145,0"</f>
        <v>145,0</v>
      </c>
      <c r="L17" s="15" t="str">
        <f>"99,1510"</f>
        <v>99,1510</v>
      </c>
      <c r="M17" s="14" t="s">
        <v>652</v>
      </c>
    </row>
    <row r="18" spans="1:13" x14ac:dyDescent="0.2">
      <c r="A18" s="12" t="s">
        <v>654</v>
      </c>
      <c r="B18" s="12" t="s">
        <v>655</v>
      </c>
      <c r="C18" s="12" t="s">
        <v>321</v>
      </c>
      <c r="D18" s="12" t="str">
        <f>"0,6774"</f>
        <v>0,6774</v>
      </c>
      <c r="E18" s="12" t="s">
        <v>18</v>
      </c>
      <c r="F18" s="12" t="s">
        <v>36</v>
      </c>
      <c r="G18" s="17" t="s">
        <v>100</v>
      </c>
      <c r="H18" s="13" t="s">
        <v>41</v>
      </c>
      <c r="I18" s="13" t="s">
        <v>270</v>
      </c>
      <c r="J18" s="13"/>
      <c r="K18" s="12" t="str">
        <f>"110,0"</f>
        <v>110,0</v>
      </c>
      <c r="L18" s="17" t="str">
        <f>"74,5140"</f>
        <v>74,5140</v>
      </c>
      <c r="M18" s="12" t="s">
        <v>80</v>
      </c>
    </row>
    <row r="20" spans="1:13" ht="15" x14ac:dyDescent="0.2">
      <c r="A20" s="35" t="s">
        <v>46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3" x14ac:dyDescent="0.2">
      <c r="A21" s="9" t="s">
        <v>657</v>
      </c>
      <c r="B21" s="9" t="s">
        <v>658</v>
      </c>
      <c r="C21" s="9" t="s">
        <v>659</v>
      </c>
      <c r="D21" s="9" t="str">
        <f>"0,6661"</f>
        <v>0,6661</v>
      </c>
      <c r="E21" s="9" t="s">
        <v>18</v>
      </c>
      <c r="F21" s="9" t="s">
        <v>36</v>
      </c>
      <c r="G21" s="11" t="s">
        <v>297</v>
      </c>
      <c r="H21" s="10" t="s">
        <v>284</v>
      </c>
      <c r="I21" s="11" t="s">
        <v>303</v>
      </c>
      <c r="J21" s="11"/>
      <c r="K21" s="9" t="str">
        <f>"95,0"</f>
        <v>95,0</v>
      </c>
      <c r="L21" s="10" t="str">
        <f>"63,2795"</f>
        <v>63,2795</v>
      </c>
      <c r="M21" s="9" t="s">
        <v>169</v>
      </c>
    </row>
    <row r="22" spans="1:13" x14ac:dyDescent="0.2">
      <c r="A22" s="14" t="s">
        <v>661</v>
      </c>
      <c r="B22" s="14" t="s">
        <v>662</v>
      </c>
      <c r="C22" s="14" t="s">
        <v>663</v>
      </c>
      <c r="D22" s="14" t="str">
        <f>"0,6540"</f>
        <v>0,6540</v>
      </c>
      <c r="E22" s="14" t="s">
        <v>18</v>
      </c>
      <c r="F22" s="14" t="s">
        <v>664</v>
      </c>
      <c r="G22" s="15" t="s">
        <v>26</v>
      </c>
      <c r="H22" s="15" t="s">
        <v>76</v>
      </c>
      <c r="I22" s="15" t="s">
        <v>28</v>
      </c>
      <c r="J22" s="16"/>
      <c r="K22" s="14" t="str">
        <f>"180,0"</f>
        <v>180,0</v>
      </c>
      <c r="L22" s="15" t="str">
        <f>"117,7200"</f>
        <v>117,7200</v>
      </c>
      <c r="M22" s="14" t="s">
        <v>665</v>
      </c>
    </row>
    <row r="23" spans="1:13" x14ac:dyDescent="0.2">
      <c r="A23" s="14" t="s">
        <v>667</v>
      </c>
      <c r="B23" s="14" t="s">
        <v>668</v>
      </c>
      <c r="C23" s="14" t="s">
        <v>669</v>
      </c>
      <c r="D23" s="14" t="str">
        <f>"0,6421"</f>
        <v>0,6421</v>
      </c>
      <c r="E23" s="14" t="s">
        <v>35</v>
      </c>
      <c r="F23" s="14" t="s">
        <v>36</v>
      </c>
      <c r="G23" s="15" t="s">
        <v>22</v>
      </c>
      <c r="H23" s="15" t="s">
        <v>37</v>
      </c>
      <c r="I23" s="16" t="s">
        <v>26</v>
      </c>
      <c r="J23" s="16"/>
      <c r="K23" s="14" t="str">
        <f>"165,0"</f>
        <v>165,0</v>
      </c>
      <c r="L23" s="15" t="str">
        <f>"105,9465"</f>
        <v>105,9465</v>
      </c>
      <c r="M23" s="14" t="s">
        <v>144</v>
      </c>
    </row>
    <row r="24" spans="1:13" x14ac:dyDescent="0.2">
      <c r="A24" s="14" t="s">
        <v>671</v>
      </c>
      <c r="B24" s="14" t="s">
        <v>672</v>
      </c>
      <c r="C24" s="14" t="s">
        <v>673</v>
      </c>
      <c r="D24" s="14" t="str">
        <f>"0,6463"</f>
        <v>0,6463</v>
      </c>
      <c r="E24" s="14" t="s">
        <v>18</v>
      </c>
      <c r="F24" s="14" t="s">
        <v>36</v>
      </c>
      <c r="G24" s="15" t="s">
        <v>22</v>
      </c>
      <c r="H24" s="16" t="s">
        <v>37</v>
      </c>
      <c r="I24" s="16" t="s">
        <v>26</v>
      </c>
      <c r="J24" s="16"/>
      <c r="K24" s="14" t="str">
        <f>"155,0"</f>
        <v>155,0</v>
      </c>
      <c r="L24" s="15" t="str">
        <f>"100,1765"</f>
        <v>100,1765</v>
      </c>
      <c r="M24" s="14" t="s">
        <v>674</v>
      </c>
    </row>
    <row r="25" spans="1:13" x14ac:dyDescent="0.2">
      <c r="A25" s="12" t="s">
        <v>676</v>
      </c>
      <c r="B25" s="12" t="s">
        <v>677</v>
      </c>
      <c r="C25" s="12" t="s">
        <v>678</v>
      </c>
      <c r="D25" s="12" t="str">
        <f>"0,6528"</f>
        <v>0,6528</v>
      </c>
      <c r="E25" s="12" t="s">
        <v>18</v>
      </c>
      <c r="F25" s="12" t="s">
        <v>36</v>
      </c>
      <c r="G25" s="17" t="s">
        <v>39</v>
      </c>
      <c r="H25" s="17" t="s">
        <v>41</v>
      </c>
      <c r="I25" s="17" t="s">
        <v>270</v>
      </c>
      <c r="J25" s="13"/>
      <c r="K25" s="12" t="str">
        <f>"120,0"</f>
        <v>120,0</v>
      </c>
      <c r="L25" s="17" t="str">
        <f>"131,6828"</f>
        <v>131,6828</v>
      </c>
      <c r="M25" s="12" t="s">
        <v>636</v>
      </c>
    </row>
    <row r="27" spans="1:13" ht="15" x14ac:dyDescent="0.2">
      <c r="A27" s="35" t="s">
        <v>58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3" x14ac:dyDescent="0.2">
      <c r="A28" s="9" t="s">
        <v>680</v>
      </c>
      <c r="B28" s="9" t="s">
        <v>681</v>
      </c>
      <c r="C28" s="9" t="s">
        <v>682</v>
      </c>
      <c r="D28" s="9" t="str">
        <f>"0,6098"</f>
        <v>0,6098</v>
      </c>
      <c r="E28" s="9" t="s">
        <v>18</v>
      </c>
      <c r="F28" s="9" t="s">
        <v>36</v>
      </c>
      <c r="G28" s="10" t="s">
        <v>157</v>
      </c>
      <c r="H28" s="10" t="s">
        <v>331</v>
      </c>
      <c r="I28" s="11" t="s">
        <v>52</v>
      </c>
      <c r="J28" s="11"/>
      <c r="K28" s="9" t="str">
        <f>"222,5"</f>
        <v>222,5</v>
      </c>
      <c r="L28" s="10" t="str">
        <f>"135,6805"</f>
        <v>135,6805</v>
      </c>
      <c r="M28" s="9" t="s">
        <v>683</v>
      </c>
    </row>
    <row r="29" spans="1:13" x14ac:dyDescent="0.2">
      <c r="A29" s="14" t="s">
        <v>685</v>
      </c>
      <c r="B29" s="14" t="s">
        <v>686</v>
      </c>
      <c r="C29" s="14" t="s">
        <v>687</v>
      </c>
      <c r="D29" s="14" t="str">
        <f>"0,6338"</f>
        <v>0,6338</v>
      </c>
      <c r="E29" s="14" t="s">
        <v>18</v>
      </c>
      <c r="F29" s="14" t="s">
        <v>36</v>
      </c>
      <c r="G29" s="15" t="s">
        <v>21</v>
      </c>
      <c r="H29" s="15" t="s">
        <v>67</v>
      </c>
      <c r="I29" s="15" t="s">
        <v>26</v>
      </c>
      <c r="J29" s="16"/>
      <c r="K29" s="14" t="str">
        <f>"170,0"</f>
        <v>170,0</v>
      </c>
      <c r="L29" s="15" t="str">
        <f>"107,7460"</f>
        <v>107,7460</v>
      </c>
      <c r="M29" s="14" t="s">
        <v>688</v>
      </c>
    </row>
    <row r="30" spans="1:13" x14ac:dyDescent="0.2">
      <c r="A30" s="12" t="s">
        <v>690</v>
      </c>
      <c r="B30" s="12" t="s">
        <v>691</v>
      </c>
      <c r="C30" s="12" t="s">
        <v>692</v>
      </c>
      <c r="D30" s="12" t="str">
        <f>"0,6106"</f>
        <v>0,6106</v>
      </c>
      <c r="E30" s="12" t="s">
        <v>18</v>
      </c>
      <c r="F30" s="12" t="s">
        <v>693</v>
      </c>
      <c r="G30" s="17" t="s">
        <v>461</v>
      </c>
      <c r="H30" s="17" t="s">
        <v>98</v>
      </c>
      <c r="I30" s="17" t="s">
        <v>20</v>
      </c>
      <c r="J30" s="13"/>
      <c r="K30" s="12" t="str">
        <f>"145,0"</f>
        <v>145,0</v>
      </c>
      <c r="L30" s="17" t="str">
        <f>"88,5370"</f>
        <v>88,5370</v>
      </c>
      <c r="M30" s="12" t="s">
        <v>694</v>
      </c>
    </row>
    <row r="32" spans="1:13" ht="15" x14ac:dyDescent="0.2">
      <c r="A32" s="35" t="s">
        <v>253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3" x14ac:dyDescent="0.2">
      <c r="A33" s="9" t="s">
        <v>696</v>
      </c>
      <c r="B33" s="9" t="s">
        <v>697</v>
      </c>
      <c r="C33" s="9" t="s">
        <v>698</v>
      </c>
      <c r="D33" s="9" t="str">
        <f>"0,5917"</f>
        <v>0,5917</v>
      </c>
      <c r="E33" s="9" t="s">
        <v>18</v>
      </c>
      <c r="F33" s="9" t="s">
        <v>699</v>
      </c>
      <c r="G33" s="10" t="s">
        <v>64</v>
      </c>
      <c r="H33" s="10" t="s">
        <v>249</v>
      </c>
      <c r="I33" s="10" t="s">
        <v>397</v>
      </c>
      <c r="J33" s="11"/>
      <c r="K33" s="9" t="str">
        <f>"207,5"</f>
        <v>207,5</v>
      </c>
      <c r="L33" s="10" t="str">
        <f>"122,7778"</f>
        <v>122,7778</v>
      </c>
      <c r="M33" s="9" t="s">
        <v>169</v>
      </c>
    </row>
    <row r="34" spans="1:13" x14ac:dyDescent="0.2">
      <c r="A34" s="12" t="s">
        <v>701</v>
      </c>
      <c r="B34" s="12" t="s">
        <v>702</v>
      </c>
      <c r="C34" s="12" t="s">
        <v>703</v>
      </c>
      <c r="D34" s="12" t="str">
        <f>"0,5928"</f>
        <v>0,5928</v>
      </c>
      <c r="E34" s="12" t="s">
        <v>18</v>
      </c>
      <c r="F34" s="12" t="s">
        <v>36</v>
      </c>
      <c r="G34" s="17" t="s">
        <v>42</v>
      </c>
      <c r="H34" s="17" t="s">
        <v>248</v>
      </c>
      <c r="I34" s="13" t="s">
        <v>149</v>
      </c>
      <c r="J34" s="13"/>
      <c r="K34" s="12" t="str">
        <f>"197,5"</f>
        <v>197,5</v>
      </c>
      <c r="L34" s="17" t="str">
        <f>"117,0780"</f>
        <v>117,0780</v>
      </c>
      <c r="M34" s="12" t="s">
        <v>144</v>
      </c>
    </row>
    <row r="36" spans="1:13" ht="15" x14ac:dyDescent="0.2">
      <c r="A36" s="35" t="s">
        <v>93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3" x14ac:dyDescent="0.2">
      <c r="A37" s="9" t="s">
        <v>705</v>
      </c>
      <c r="B37" s="9" t="s">
        <v>706</v>
      </c>
      <c r="C37" s="9" t="s">
        <v>707</v>
      </c>
      <c r="D37" s="9" t="str">
        <f>"0,5819"</f>
        <v>0,5819</v>
      </c>
      <c r="E37" s="9" t="s">
        <v>18</v>
      </c>
      <c r="F37" s="9" t="s">
        <v>708</v>
      </c>
      <c r="G37" s="10" t="s">
        <v>149</v>
      </c>
      <c r="H37" s="11" t="s">
        <v>193</v>
      </c>
      <c r="I37" s="10" t="s">
        <v>193</v>
      </c>
      <c r="J37" s="11"/>
      <c r="K37" s="9" t="str">
        <f>"215,0"</f>
        <v>215,0</v>
      </c>
      <c r="L37" s="10" t="str">
        <f>"125,1085"</f>
        <v>125,1085</v>
      </c>
      <c r="M37" s="9" t="s">
        <v>144</v>
      </c>
    </row>
    <row r="38" spans="1:13" x14ac:dyDescent="0.2">
      <c r="A38" s="14" t="s">
        <v>710</v>
      </c>
      <c r="B38" s="14" t="s">
        <v>711</v>
      </c>
      <c r="C38" s="14" t="s">
        <v>712</v>
      </c>
      <c r="D38" s="14" t="str">
        <f>"0,5800"</f>
        <v>0,5800</v>
      </c>
      <c r="E38" s="14" t="s">
        <v>18</v>
      </c>
      <c r="F38" s="14" t="s">
        <v>713</v>
      </c>
      <c r="G38" s="15" t="s">
        <v>42</v>
      </c>
      <c r="H38" s="16" t="s">
        <v>51</v>
      </c>
      <c r="I38" s="16" t="s">
        <v>149</v>
      </c>
      <c r="J38" s="16"/>
      <c r="K38" s="14" t="str">
        <f>"190,0"</f>
        <v>190,0</v>
      </c>
      <c r="L38" s="15" t="str">
        <f>"110,2000"</f>
        <v>110,2000</v>
      </c>
      <c r="M38" s="14" t="s">
        <v>714</v>
      </c>
    </row>
    <row r="39" spans="1:13" x14ac:dyDescent="0.2">
      <c r="A39" s="14" t="s">
        <v>716</v>
      </c>
      <c r="B39" s="14" t="s">
        <v>717</v>
      </c>
      <c r="C39" s="14" t="s">
        <v>718</v>
      </c>
      <c r="D39" s="14" t="str">
        <f>"0,5698"</f>
        <v>0,5698</v>
      </c>
      <c r="E39" s="14" t="s">
        <v>18</v>
      </c>
      <c r="F39" s="14" t="s">
        <v>36</v>
      </c>
      <c r="G39" s="15" t="s">
        <v>38</v>
      </c>
      <c r="H39" s="15" t="s">
        <v>28</v>
      </c>
      <c r="I39" s="16" t="s">
        <v>89</v>
      </c>
      <c r="J39" s="16"/>
      <c r="K39" s="14" t="str">
        <f>"180,0"</f>
        <v>180,0</v>
      </c>
      <c r="L39" s="15" t="str">
        <f>"102,5640"</f>
        <v>102,5640</v>
      </c>
      <c r="M39" s="14" t="s">
        <v>144</v>
      </c>
    </row>
    <row r="40" spans="1:13" x14ac:dyDescent="0.2">
      <c r="A40" s="12" t="s">
        <v>720</v>
      </c>
      <c r="B40" s="12" t="s">
        <v>721</v>
      </c>
      <c r="C40" s="12" t="s">
        <v>722</v>
      </c>
      <c r="D40" s="12" t="str">
        <f>"0,5777"</f>
        <v>0,5777</v>
      </c>
      <c r="E40" s="12" t="s">
        <v>18</v>
      </c>
      <c r="F40" s="12" t="s">
        <v>723</v>
      </c>
      <c r="G40" s="17" t="s">
        <v>21</v>
      </c>
      <c r="H40" s="13" t="s">
        <v>37</v>
      </c>
      <c r="I40" s="13" t="s">
        <v>37</v>
      </c>
      <c r="J40" s="13"/>
      <c r="K40" s="12" t="str">
        <f>"150,0"</f>
        <v>150,0</v>
      </c>
      <c r="L40" s="17" t="str">
        <f>"92,5475"</f>
        <v>92,5475</v>
      </c>
      <c r="M40" s="12" t="s">
        <v>724</v>
      </c>
    </row>
    <row r="42" spans="1:13" ht="15" x14ac:dyDescent="0.2">
      <c r="E42" s="18" t="s">
        <v>102</v>
      </c>
    </row>
    <row r="43" spans="1:13" ht="15" x14ac:dyDescent="0.2">
      <c r="E43" s="18" t="s">
        <v>103</v>
      </c>
    </row>
    <row r="44" spans="1:13" ht="15" x14ac:dyDescent="0.2">
      <c r="E44" s="18" t="s">
        <v>104</v>
      </c>
    </row>
    <row r="45" spans="1:13" ht="15" x14ac:dyDescent="0.2">
      <c r="E45" s="18" t="s">
        <v>105</v>
      </c>
    </row>
    <row r="46" spans="1:13" ht="15" x14ac:dyDescent="0.2">
      <c r="E46" s="18" t="s">
        <v>105</v>
      </c>
    </row>
    <row r="47" spans="1:13" ht="15" x14ac:dyDescent="0.2">
      <c r="E47" s="18" t="s">
        <v>106</v>
      </c>
    </row>
    <row r="48" spans="1:13" ht="15" x14ac:dyDescent="0.2">
      <c r="E48" s="18"/>
    </row>
    <row r="50" spans="1:5" ht="18" x14ac:dyDescent="0.25">
      <c r="A50" s="19" t="s">
        <v>107</v>
      </c>
      <c r="B50" s="19"/>
    </row>
    <row r="51" spans="1:5" ht="15" x14ac:dyDescent="0.2">
      <c r="A51" s="20" t="s">
        <v>108</v>
      </c>
      <c r="B51" s="20"/>
    </row>
    <row r="52" spans="1:5" ht="14.25" x14ac:dyDescent="0.2">
      <c r="A52" s="22"/>
      <c r="B52" s="23" t="s">
        <v>109</v>
      </c>
    </row>
    <row r="53" spans="1:5" ht="15" x14ac:dyDescent="0.2">
      <c r="A53" s="24" t="s">
        <v>110</v>
      </c>
      <c r="B53" s="24" t="s">
        <v>111</v>
      </c>
      <c r="C53" s="24" t="s">
        <v>112</v>
      </c>
      <c r="D53" s="24" t="s">
        <v>113</v>
      </c>
      <c r="E53" s="24" t="s">
        <v>114</v>
      </c>
    </row>
    <row r="54" spans="1:5" x14ac:dyDescent="0.2">
      <c r="A54" s="21" t="s">
        <v>611</v>
      </c>
      <c r="B54" s="4" t="s">
        <v>109</v>
      </c>
      <c r="C54" s="4" t="s">
        <v>134</v>
      </c>
      <c r="D54" s="4" t="s">
        <v>270</v>
      </c>
      <c r="E54" s="25" t="s">
        <v>725</v>
      </c>
    </row>
    <row r="57" spans="1:5" ht="15" x14ac:dyDescent="0.2">
      <c r="A57" s="20" t="s">
        <v>118</v>
      </c>
      <c r="B57" s="20"/>
    </row>
    <row r="58" spans="1:5" ht="14.25" x14ac:dyDescent="0.2">
      <c r="A58" s="22"/>
      <c r="B58" s="23" t="s">
        <v>119</v>
      </c>
    </row>
    <row r="59" spans="1:5" ht="15" x14ac:dyDescent="0.2">
      <c r="A59" s="24" t="s">
        <v>110</v>
      </c>
      <c r="B59" s="24" t="s">
        <v>111</v>
      </c>
      <c r="C59" s="24" t="s">
        <v>112</v>
      </c>
      <c r="D59" s="24" t="s">
        <v>113</v>
      </c>
      <c r="E59" s="24" t="s">
        <v>114</v>
      </c>
    </row>
    <row r="60" spans="1:5" x14ac:dyDescent="0.2">
      <c r="A60" s="21" t="s">
        <v>637</v>
      </c>
      <c r="B60" s="4" t="s">
        <v>120</v>
      </c>
      <c r="C60" s="4" t="s">
        <v>134</v>
      </c>
      <c r="D60" s="4" t="s">
        <v>270</v>
      </c>
      <c r="E60" s="25" t="s">
        <v>726</v>
      </c>
    </row>
    <row r="61" spans="1:5" x14ac:dyDescent="0.2">
      <c r="A61" s="21" t="s">
        <v>617</v>
      </c>
      <c r="B61" s="4" t="s">
        <v>120</v>
      </c>
      <c r="C61" s="4" t="s">
        <v>115</v>
      </c>
      <c r="D61" s="4" t="s">
        <v>303</v>
      </c>
      <c r="E61" s="25" t="s">
        <v>727</v>
      </c>
    </row>
    <row r="62" spans="1:5" x14ac:dyDescent="0.2">
      <c r="A62" s="21" t="s">
        <v>642</v>
      </c>
      <c r="B62" s="4" t="s">
        <v>120</v>
      </c>
      <c r="C62" s="4" t="s">
        <v>134</v>
      </c>
      <c r="D62" s="4" t="s">
        <v>99</v>
      </c>
      <c r="E62" s="25" t="s">
        <v>728</v>
      </c>
    </row>
    <row r="64" spans="1:5" ht="14.25" x14ac:dyDescent="0.2">
      <c r="A64" s="22"/>
      <c r="B64" s="23" t="s">
        <v>208</v>
      </c>
    </row>
    <row r="65" spans="1:5" ht="15" x14ac:dyDescent="0.2">
      <c r="A65" s="24" t="s">
        <v>110</v>
      </c>
      <c r="B65" s="24" t="s">
        <v>111</v>
      </c>
      <c r="C65" s="24" t="s">
        <v>112</v>
      </c>
      <c r="D65" s="24" t="s">
        <v>113</v>
      </c>
      <c r="E65" s="24" t="s">
        <v>114</v>
      </c>
    </row>
    <row r="66" spans="1:5" x14ac:dyDescent="0.2">
      <c r="A66" s="21" t="s">
        <v>704</v>
      </c>
      <c r="B66" s="4" t="s">
        <v>209</v>
      </c>
      <c r="C66" s="4" t="s">
        <v>124</v>
      </c>
      <c r="D66" s="4" t="s">
        <v>193</v>
      </c>
      <c r="E66" s="25" t="s">
        <v>729</v>
      </c>
    </row>
    <row r="67" spans="1:5" x14ac:dyDescent="0.2">
      <c r="A67" s="21" t="s">
        <v>656</v>
      </c>
      <c r="B67" s="4" t="s">
        <v>209</v>
      </c>
      <c r="C67" s="4" t="s">
        <v>131</v>
      </c>
      <c r="D67" s="4" t="s">
        <v>284</v>
      </c>
      <c r="E67" s="25" t="s">
        <v>730</v>
      </c>
    </row>
    <row r="69" spans="1:5" ht="14.25" x14ac:dyDescent="0.2">
      <c r="A69" s="22"/>
      <c r="B69" s="23" t="s">
        <v>109</v>
      </c>
    </row>
    <row r="70" spans="1:5" ht="15" x14ac:dyDescent="0.2">
      <c r="A70" s="24" t="s">
        <v>110</v>
      </c>
      <c r="B70" s="24" t="s">
        <v>111</v>
      </c>
      <c r="C70" s="24" t="s">
        <v>112</v>
      </c>
      <c r="D70" s="24" t="s">
        <v>113</v>
      </c>
      <c r="E70" s="24" t="s">
        <v>114</v>
      </c>
    </row>
    <row r="71" spans="1:5" x14ac:dyDescent="0.2">
      <c r="A71" s="21" t="s">
        <v>679</v>
      </c>
      <c r="B71" s="4" t="s">
        <v>109</v>
      </c>
      <c r="C71" s="4" t="s">
        <v>121</v>
      </c>
      <c r="D71" s="4" t="s">
        <v>331</v>
      </c>
      <c r="E71" s="25" t="s">
        <v>731</v>
      </c>
    </row>
    <row r="72" spans="1:5" x14ac:dyDescent="0.2">
      <c r="A72" s="21" t="s">
        <v>695</v>
      </c>
      <c r="B72" s="4" t="s">
        <v>109</v>
      </c>
      <c r="C72" s="4" t="s">
        <v>262</v>
      </c>
      <c r="D72" s="4" t="s">
        <v>397</v>
      </c>
      <c r="E72" s="25" t="s">
        <v>732</v>
      </c>
    </row>
    <row r="73" spans="1:5" x14ac:dyDescent="0.2">
      <c r="A73" s="21" t="s">
        <v>660</v>
      </c>
      <c r="B73" s="4" t="s">
        <v>109</v>
      </c>
      <c r="C73" s="4" t="s">
        <v>131</v>
      </c>
      <c r="D73" s="4" t="s">
        <v>28</v>
      </c>
      <c r="E73" s="25" t="s">
        <v>733</v>
      </c>
    </row>
    <row r="74" spans="1:5" x14ac:dyDescent="0.2">
      <c r="A74" s="21" t="s">
        <v>700</v>
      </c>
      <c r="B74" s="4" t="s">
        <v>109</v>
      </c>
      <c r="C74" s="4" t="s">
        <v>262</v>
      </c>
      <c r="D74" s="4" t="s">
        <v>248</v>
      </c>
      <c r="E74" s="25" t="s">
        <v>734</v>
      </c>
    </row>
    <row r="75" spans="1:5" x14ac:dyDescent="0.2">
      <c r="A75" s="21" t="s">
        <v>709</v>
      </c>
      <c r="B75" s="4" t="s">
        <v>109</v>
      </c>
      <c r="C75" s="4" t="s">
        <v>124</v>
      </c>
      <c r="D75" s="4" t="s">
        <v>42</v>
      </c>
      <c r="E75" s="25" t="s">
        <v>735</v>
      </c>
    </row>
    <row r="76" spans="1:5" x14ac:dyDescent="0.2">
      <c r="A76" s="21" t="s">
        <v>684</v>
      </c>
      <c r="B76" s="4" t="s">
        <v>109</v>
      </c>
      <c r="C76" s="4" t="s">
        <v>121</v>
      </c>
      <c r="D76" s="4" t="s">
        <v>26</v>
      </c>
      <c r="E76" s="25" t="s">
        <v>736</v>
      </c>
    </row>
    <row r="77" spans="1:5" x14ac:dyDescent="0.2">
      <c r="A77" s="21" t="s">
        <v>666</v>
      </c>
      <c r="B77" s="4" t="s">
        <v>109</v>
      </c>
      <c r="C77" s="4" t="s">
        <v>131</v>
      </c>
      <c r="D77" s="4" t="s">
        <v>37</v>
      </c>
      <c r="E77" s="25" t="s">
        <v>737</v>
      </c>
    </row>
    <row r="78" spans="1:5" x14ac:dyDescent="0.2">
      <c r="A78" s="21" t="s">
        <v>715</v>
      </c>
      <c r="B78" s="4" t="s">
        <v>109</v>
      </c>
      <c r="C78" s="4" t="s">
        <v>124</v>
      </c>
      <c r="D78" s="4" t="s">
        <v>28</v>
      </c>
      <c r="E78" s="25" t="s">
        <v>738</v>
      </c>
    </row>
    <row r="79" spans="1:5" x14ac:dyDescent="0.2">
      <c r="A79" s="21" t="s">
        <v>670</v>
      </c>
      <c r="B79" s="4" t="s">
        <v>109</v>
      </c>
      <c r="C79" s="4" t="s">
        <v>131</v>
      </c>
      <c r="D79" s="4" t="s">
        <v>22</v>
      </c>
      <c r="E79" s="25" t="s">
        <v>739</v>
      </c>
    </row>
    <row r="80" spans="1:5" x14ac:dyDescent="0.2">
      <c r="A80" s="21" t="s">
        <v>647</v>
      </c>
      <c r="B80" s="4" t="s">
        <v>109</v>
      </c>
      <c r="C80" s="4" t="s">
        <v>134</v>
      </c>
      <c r="D80" s="4" t="s">
        <v>20</v>
      </c>
      <c r="E80" s="25" t="s">
        <v>740</v>
      </c>
    </row>
    <row r="81" spans="1:5" x14ac:dyDescent="0.2">
      <c r="A81" s="21" t="s">
        <v>689</v>
      </c>
      <c r="B81" s="4" t="s">
        <v>109</v>
      </c>
      <c r="C81" s="4" t="s">
        <v>121</v>
      </c>
      <c r="D81" s="4" t="s">
        <v>20</v>
      </c>
      <c r="E81" s="25" t="s">
        <v>741</v>
      </c>
    </row>
    <row r="82" spans="1:5" x14ac:dyDescent="0.2">
      <c r="A82" s="21" t="s">
        <v>622</v>
      </c>
      <c r="B82" s="4" t="s">
        <v>109</v>
      </c>
      <c r="C82" s="4" t="s">
        <v>115</v>
      </c>
      <c r="D82" s="4" t="s">
        <v>100</v>
      </c>
      <c r="E82" s="25" t="s">
        <v>742</v>
      </c>
    </row>
    <row r="84" spans="1:5" ht="14.25" x14ac:dyDescent="0.2">
      <c r="A84" s="22"/>
      <c r="B84" s="23" t="s">
        <v>227</v>
      </c>
    </row>
    <row r="85" spans="1:5" ht="15" x14ac:dyDescent="0.2">
      <c r="A85" s="24" t="s">
        <v>110</v>
      </c>
      <c r="B85" s="24" t="s">
        <v>111</v>
      </c>
      <c r="C85" s="24" t="s">
        <v>112</v>
      </c>
      <c r="D85" s="24" t="s">
        <v>113</v>
      </c>
      <c r="E85" s="24" t="s">
        <v>114</v>
      </c>
    </row>
    <row r="86" spans="1:5" x14ac:dyDescent="0.2">
      <c r="A86" s="21" t="s">
        <v>675</v>
      </c>
      <c r="B86" s="4" t="s">
        <v>743</v>
      </c>
      <c r="C86" s="4" t="s">
        <v>131</v>
      </c>
      <c r="D86" s="4" t="s">
        <v>270</v>
      </c>
      <c r="E86" s="25" t="s">
        <v>744</v>
      </c>
    </row>
    <row r="87" spans="1:5" x14ac:dyDescent="0.2">
      <c r="A87" s="21" t="s">
        <v>632</v>
      </c>
      <c r="B87" s="4" t="s">
        <v>743</v>
      </c>
      <c r="C87" s="4" t="s">
        <v>115</v>
      </c>
      <c r="D87" s="4" t="s">
        <v>99</v>
      </c>
      <c r="E87" s="25" t="s">
        <v>745</v>
      </c>
    </row>
    <row r="88" spans="1:5" x14ac:dyDescent="0.2">
      <c r="A88" s="21" t="s">
        <v>719</v>
      </c>
      <c r="B88" s="4" t="s">
        <v>399</v>
      </c>
      <c r="C88" s="4" t="s">
        <v>124</v>
      </c>
      <c r="D88" s="4" t="s">
        <v>21</v>
      </c>
      <c r="E88" s="25" t="s">
        <v>746</v>
      </c>
    </row>
    <row r="89" spans="1:5" x14ac:dyDescent="0.2">
      <c r="A89" s="21" t="s">
        <v>628</v>
      </c>
      <c r="B89" s="4" t="s">
        <v>420</v>
      </c>
      <c r="C89" s="4" t="s">
        <v>115</v>
      </c>
      <c r="D89" s="4" t="s">
        <v>24</v>
      </c>
      <c r="E89" s="25" t="s">
        <v>747</v>
      </c>
    </row>
    <row r="90" spans="1:5" x14ac:dyDescent="0.2">
      <c r="A90" s="21" t="s">
        <v>653</v>
      </c>
      <c r="B90" s="4" t="s">
        <v>228</v>
      </c>
      <c r="C90" s="4" t="s">
        <v>134</v>
      </c>
      <c r="D90" s="4" t="s">
        <v>100</v>
      </c>
      <c r="E90" s="25" t="s">
        <v>748</v>
      </c>
    </row>
  </sheetData>
  <mergeCells count="18">
    <mergeCell ref="A20:L20"/>
    <mergeCell ref="A27:L27"/>
    <mergeCell ref="A32:L32"/>
    <mergeCell ref="A36:L36"/>
    <mergeCell ref="K3:K4"/>
    <mergeCell ref="L3:L4"/>
    <mergeCell ref="M3:M4"/>
    <mergeCell ref="A5:L5"/>
    <mergeCell ref="A8:L8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6.7109375" style="4" customWidth="1"/>
    <col min="4" max="4" width="8.42578125" style="4" bestFit="1" customWidth="1"/>
    <col min="5" max="5" width="22.7109375" style="4" bestFit="1" customWidth="1"/>
    <col min="6" max="6" width="27" style="4" bestFit="1" customWidth="1"/>
    <col min="7" max="8" width="5.5703125" style="3" bestFit="1" customWidth="1"/>
    <col min="9" max="9" width="2.1406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17.85546875" style="4" bestFit="1" customWidth="1"/>
    <col min="14" max="16384" width="9.140625" style="3"/>
  </cols>
  <sheetData>
    <row r="1" spans="1:13" s="2" customFormat="1" ht="29.1" customHeight="1" x14ac:dyDescent="0.2">
      <c r="A1" s="39" t="s">
        <v>1565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12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231</v>
      </c>
      <c r="B6" s="6" t="s">
        <v>232</v>
      </c>
      <c r="C6" s="6" t="s">
        <v>233</v>
      </c>
      <c r="D6" s="6" t="str">
        <f>"0,7193"</f>
        <v>0,7193</v>
      </c>
      <c r="E6" s="6" t="s">
        <v>18</v>
      </c>
      <c r="F6" s="6" t="s">
        <v>234</v>
      </c>
      <c r="G6" s="7" t="s">
        <v>51</v>
      </c>
      <c r="H6" s="8" t="s">
        <v>156</v>
      </c>
      <c r="I6" s="8"/>
      <c r="J6" s="8"/>
      <c r="K6" s="6" t="str">
        <f>"200,0"</f>
        <v>200,0</v>
      </c>
      <c r="L6" s="7" t="str">
        <f>"182,4145"</f>
        <v>182,4145</v>
      </c>
      <c r="M6" s="6" t="s">
        <v>235</v>
      </c>
    </row>
    <row r="8" spans="1:13" ht="15" x14ac:dyDescent="0.2">
      <c r="E8" s="18" t="s">
        <v>102</v>
      </c>
    </row>
    <row r="9" spans="1:13" ht="15" x14ac:dyDescent="0.2">
      <c r="E9" s="18" t="s">
        <v>103</v>
      </c>
    </row>
    <row r="10" spans="1:13" ht="15" x14ac:dyDescent="0.2">
      <c r="E10" s="18" t="s">
        <v>104</v>
      </c>
    </row>
    <row r="11" spans="1:13" ht="15" x14ac:dyDescent="0.2">
      <c r="E11" s="18" t="s">
        <v>105</v>
      </c>
    </row>
    <row r="12" spans="1:13" ht="15" x14ac:dyDescent="0.2">
      <c r="E12" s="18" t="s">
        <v>105</v>
      </c>
    </row>
    <row r="13" spans="1:13" ht="15" x14ac:dyDescent="0.2">
      <c r="E13" s="18" t="s">
        <v>106</v>
      </c>
    </row>
    <row r="14" spans="1:13" ht="15" x14ac:dyDescent="0.2">
      <c r="E14" s="18"/>
    </row>
    <row r="16" spans="1:13" ht="18" x14ac:dyDescent="0.25">
      <c r="A16" s="19" t="s">
        <v>107</v>
      </c>
      <c r="B16" s="19"/>
    </row>
    <row r="17" spans="1:5" ht="15" x14ac:dyDescent="0.2">
      <c r="A17" s="20" t="s">
        <v>118</v>
      </c>
      <c r="B17" s="20"/>
    </row>
    <row r="18" spans="1:5" ht="14.25" x14ac:dyDescent="0.2">
      <c r="A18" s="22"/>
      <c r="B18" s="23" t="s">
        <v>227</v>
      </c>
    </row>
    <row r="19" spans="1:5" ht="15" x14ac:dyDescent="0.2">
      <c r="A19" s="24" t="s">
        <v>110</v>
      </c>
      <c r="B19" s="24" t="s">
        <v>111</v>
      </c>
      <c r="C19" s="24" t="s">
        <v>112</v>
      </c>
      <c r="D19" s="24" t="s">
        <v>113</v>
      </c>
      <c r="E19" s="24" t="s">
        <v>114</v>
      </c>
    </row>
    <row r="20" spans="1:5" x14ac:dyDescent="0.2">
      <c r="A20" s="21" t="s">
        <v>230</v>
      </c>
      <c r="B20" s="4" t="s">
        <v>239</v>
      </c>
      <c r="C20" s="4" t="s">
        <v>115</v>
      </c>
      <c r="D20" s="4" t="s">
        <v>51</v>
      </c>
      <c r="E20" s="25" t="s">
        <v>1143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3" sqref="A3:A4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7" style="4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11.28515625" style="4" bestFit="1" customWidth="1"/>
    <col min="12" max="12" width="8.5703125" style="3" bestFit="1" customWidth="1"/>
    <col min="13" max="13" width="16.140625" style="4" bestFit="1" customWidth="1"/>
    <col min="14" max="16384" width="9.140625" style="3"/>
  </cols>
  <sheetData>
    <row r="1" spans="1:13" s="2" customFormat="1" ht="29.1" customHeight="1" x14ac:dyDescent="0.2">
      <c r="A1" s="39" t="s">
        <v>1566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s="2" customFormat="1" ht="62.1" customHeight="1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 x14ac:dyDescent="0.2">
      <c r="A3" s="45" t="s">
        <v>0</v>
      </c>
      <c r="B3" s="47" t="s">
        <v>6</v>
      </c>
      <c r="C3" s="47" t="s">
        <v>7</v>
      </c>
      <c r="D3" s="37" t="s">
        <v>9</v>
      </c>
      <c r="E3" s="37" t="s">
        <v>4</v>
      </c>
      <c r="F3" s="37" t="s">
        <v>8</v>
      </c>
      <c r="G3" s="37" t="s">
        <v>12</v>
      </c>
      <c r="H3" s="37"/>
      <c r="I3" s="37"/>
      <c r="J3" s="37"/>
      <c r="K3" s="37" t="s">
        <v>749</v>
      </c>
      <c r="L3" s="37" t="s">
        <v>3</v>
      </c>
      <c r="M3" s="48" t="s">
        <v>2</v>
      </c>
    </row>
    <row r="4" spans="1:13" s="1" customFormat="1" ht="21" customHeight="1" thickBot="1" x14ac:dyDescent="0.25">
      <c r="A4" s="46"/>
      <c r="B4" s="38"/>
      <c r="C4" s="38"/>
      <c r="D4" s="38"/>
      <c r="E4" s="38"/>
      <c r="F4" s="38"/>
      <c r="G4" s="5">
        <v>1</v>
      </c>
      <c r="H4" s="5">
        <v>2</v>
      </c>
      <c r="I4" s="5">
        <v>3</v>
      </c>
      <c r="J4" s="5" t="s">
        <v>5</v>
      </c>
      <c r="K4" s="38"/>
      <c r="L4" s="38"/>
      <c r="M4" s="49"/>
    </row>
    <row r="5" spans="1:13" ht="15" x14ac:dyDescent="0.2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3" x14ac:dyDescent="0.2">
      <c r="A6" s="6" t="s">
        <v>1097</v>
      </c>
      <c r="B6" s="6" t="s">
        <v>1098</v>
      </c>
      <c r="C6" s="6" t="s">
        <v>845</v>
      </c>
      <c r="D6" s="6" t="str">
        <f>"0,9514"</f>
        <v>0,9514</v>
      </c>
      <c r="E6" s="6" t="s">
        <v>18</v>
      </c>
      <c r="F6" s="6" t="s">
        <v>199</v>
      </c>
      <c r="G6" s="7" t="s">
        <v>28</v>
      </c>
      <c r="H6" s="7" t="s">
        <v>42</v>
      </c>
      <c r="I6" s="8"/>
      <c r="J6" s="8"/>
      <c r="K6" s="6" t="str">
        <f>"190,0"</f>
        <v>190,0</v>
      </c>
      <c r="L6" s="7" t="str">
        <f>"180,7660"</f>
        <v>180,7660</v>
      </c>
      <c r="M6" s="6" t="s">
        <v>484</v>
      </c>
    </row>
    <row r="8" spans="1:13" ht="15" x14ac:dyDescent="0.2">
      <c r="A8" s="35" t="s">
        <v>287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3" x14ac:dyDescent="0.2">
      <c r="A9" s="6" t="s">
        <v>1100</v>
      </c>
      <c r="B9" s="6" t="s">
        <v>1101</v>
      </c>
      <c r="C9" s="6" t="s">
        <v>1102</v>
      </c>
      <c r="D9" s="6" t="str">
        <f>"0,8689"</f>
        <v>0,8689</v>
      </c>
      <c r="E9" s="6" t="s">
        <v>18</v>
      </c>
      <c r="F9" s="6" t="s">
        <v>36</v>
      </c>
      <c r="G9" s="7" t="s">
        <v>297</v>
      </c>
      <c r="H9" s="7" t="s">
        <v>520</v>
      </c>
      <c r="I9" s="7" t="s">
        <v>41</v>
      </c>
      <c r="J9" s="8"/>
      <c r="K9" s="6" t="str">
        <f>"115,0"</f>
        <v>115,0</v>
      </c>
      <c r="L9" s="7" t="str">
        <f>"99,9235"</f>
        <v>99,9235</v>
      </c>
      <c r="M9" s="6" t="s">
        <v>144</v>
      </c>
    </row>
    <row r="11" spans="1:13" ht="15" x14ac:dyDescent="0.2">
      <c r="A11" s="35" t="s">
        <v>13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3" x14ac:dyDescent="0.2">
      <c r="A12" s="9" t="s">
        <v>1104</v>
      </c>
      <c r="B12" s="9" t="s">
        <v>1105</v>
      </c>
      <c r="C12" s="9" t="s">
        <v>1106</v>
      </c>
      <c r="D12" s="9" t="str">
        <f>"0,7146"</f>
        <v>0,7146</v>
      </c>
      <c r="E12" s="9" t="s">
        <v>18</v>
      </c>
      <c r="F12" s="9" t="s">
        <v>1107</v>
      </c>
      <c r="G12" s="10" t="s">
        <v>164</v>
      </c>
      <c r="H12" s="10" t="s">
        <v>142</v>
      </c>
      <c r="I12" s="11" t="s">
        <v>178</v>
      </c>
      <c r="J12" s="11"/>
      <c r="K12" s="9" t="str">
        <f>"240,0"</f>
        <v>240,0</v>
      </c>
      <c r="L12" s="10" t="str">
        <f>"171,5040"</f>
        <v>171,5040</v>
      </c>
      <c r="M12" s="9" t="s">
        <v>169</v>
      </c>
    </row>
    <row r="13" spans="1:13" x14ac:dyDescent="0.2">
      <c r="A13" s="12" t="s">
        <v>1109</v>
      </c>
      <c r="B13" s="12" t="s">
        <v>1110</v>
      </c>
      <c r="C13" s="12" t="s">
        <v>1111</v>
      </c>
      <c r="D13" s="12" t="str">
        <f>"0,7179"</f>
        <v>0,7179</v>
      </c>
      <c r="E13" s="12" t="s">
        <v>18</v>
      </c>
      <c r="F13" s="12" t="s">
        <v>36</v>
      </c>
      <c r="G13" s="17" t="s">
        <v>39</v>
      </c>
      <c r="H13" s="17" t="s">
        <v>41</v>
      </c>
      <c r="I13" s="13" t="s">
        <v>271</v>
      </c>
      <c r="J13" s="13"/>
      <c r="K13" s="12" t="str">
        <f>"115,0"</f>
        <v>115,0</v>
      </c>
      <c r="L13" s="17" t="str">
        <f>"169,2449"</f>
        <v>169,2449</v>
      </c>
      <c r="M13" s="12" t="s">
        <v>1112</v>
      </c>
    </row>
    <row r="15" spans="1:13" ht="15" x14ac:dyDescent="0.2">
      <c r="A15" s="35" t="s">
        <v>30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3" x14ac:dyDescent="0.2">
      <c r="A16" s="9" t="s">
        <v>1114</v>
      </c>
      <c r="B16" s="9" t="s">
        <v>1115</v>
      </c>
      <c r="C16" s="9" t="s">
        <v>1116</v>
      </c>
      <c r="D16" s="9" t="str">
        <f>"0,7011"</f>
        <v>0,7011</v>
      </c>
      <c r="E16" s="9" t="s">
        <v>18</v>
      </c>
      <c r="F16" s="9" t="s">
        <v>36</v>
      </c>
      <c r="G16" s="10" t="s">
        <v>179</v>
      </c>
      <c r="H16" s="11" t="s">
        <v>73</v>
      </c>
      <c r="I16" s="11" t="s">
        <v>73</v>
      </c>
      <c r="J16" s="11"/>
      <c r="K16" s="9" t="str">
        <f>"255,0"</f>
        <v>255,0</v>
      </c>
      <c r="L16" s="10" t="str">
        <f>"178,7805"</f>
        <v>178,7805</v>
      </c>
      <c r="M16" s="9" t="s">
        <v>169</v>
      </c>
    </row>
    <row r="17" spans="1:13" x14ac:dyDescent="0.2">
      <c r="A17" s="12" t="s">
        <v>1118</v>
      </c>
      <c r="B17" s="12" t="s">
        <v>1119</v>
      </c>
      <c r="C17" s="12" t="s">
        <v>518</v>
      </c>
      <c r="D17" s="12" t="str">
        <f>"0,6759"</f>
        <v>0,6759</v>
      </c>
      <c r="E17" s="12" t="s">
        <v>35</v>
      </c>
      <c r="F17" s="12" t="s">
        <v>36</v>
      </c>
      <c r="G17" s="17" t="s">
        <v>51</v>
      </c>
      <c r="H17" s="17" t="s">
        <v>43</v>
      </c>
      <c r="I17" s="17" t="s">
        <v>44</v>
      </c>
      <c r="J17" s="13"/>
      <c r="K17" s="12" t="str">
        <f>"225,0"</f>
        <v>225,0</v>
      </c>
      <c r="L17" s="17" t="str">
        <f>"152,0775"</f>
        <v>152,0775</v>
      </c>
      <c r="M17" s="12" t="s">
        <v>1120</v>
      </c>
    </row>
    <row r="19" spans="1:13" ht="15" x14ac:dyDescent="0.2">
      <c r="A19" s="35" t="s">
        <v>58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3" x14ac:dyDescent="0.2">
      <c r="A20" s="6" t="s">
        <v>1121</v>
      </c>
      <c r="B20" s="6" t="s">
        <v>183</v>
      </c>
      <c r="C20" s="6" t="s">
        <v>184</v>
      </c>
      <c r="D20" s="6" t="str">
        <f>"0,6144"</f>
        <v>0,6144</v>
      </c>
      <c r="E20" s="6" t="s">
        <v>18</v>
      </c>
      <c r="F20" s="6" t="s">
        <v>185</v>
      </c>
      <c r="G20" s="7" t="s">
        <v>178</v>
      </c>
      <c r="H20" s="8" t="s">
        <v>85</v>
      </c>
      <c r="I20" s="8"/>
      <c r="J20" s="8"/>
      <c r="K20" s="6" t="str">
        <f>"245,0"</f>
        <v>245,0</v>
      </c>
      <c r="L20" s="7" t="str">
        <f>"150,5280"</f>
        <v>150,5280</v>
      </c>
      <c r="M20" s="6" t="s">
        <v>187</v>
      </c>
    </row>
    <row r="22" spans="1:13" ht="15" x14ac:dyDescent="0.2">
      <c r="A22" s="35" t="s">
        <v>253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3" x14ac:dyDescent="0.2">
      <c r="A23" s="6" t="s">
        <v>1123</v>
      </c>
      <c r="B23" s="6" t="s">
        <v>1124</v>
      </c>
      <c r="C23" s="6" t="s">
        <v>1125</v>
      </c>
      <c r="D23" s="6" t="str">
        <f>"0,5960"</f>
        <v>0,5960</v>
      </c>
      <c r="E23" s="6" t="s">
        <v>18</v>
      </c>
      <c r="F23" s="6" t="s">
        <v>36</v>
      </c>
      <c r="G23" s="7" t="s">
        <v>259</v>
      </c>
      <c r="H23" s="7" t="s">
        <v>1126</v>
      </c>
      <c r="I23" s="7" t="s">
        <v>200</v>
      </c>
      <c r="J23" s="8"/>
      <c r="K23" s="6" t="str">
        <f>"300,0"</f>
        <v>300,0</v>
      </c>
      <c r="L23" s="7" t="str">
        <f>"178,8000"</f>
        <v>178,8000</v>
      </c>
      <c r="M23" s="6" t="s">
        <v>144</v>
      </c>
    </row>
    <row r="25" spans="1:13" ht="15" x14ac:dyDescent="0.2">
      <c r="A25" s="35" t="s">
        <v>93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3" x14ac:dyDescent="0.2">
      <c r="A26" s="6" t="s">
        <v>1127</v>
      </c>
      <c r="B26" s="6" t="s">
        <v>205</v>
      </c>
      <c r="C26" s="6" t="s">
        <v>206</v>
      </c>
      <c r="D26" s="6" t="str">
        <f>"0,5724"</f>
        <v>0,5724</v>
      </c>
      <c r="E26" s="6" t="s">
        <v>18</v>
      </c>
      <c r="F26" s="6" t="s">
        <v>36</v>
      </c>
      <c r="G26" s="7" t="s">
        <v>85</v>
      </c>
      <c r="H26" s="7" t="s">
        <v>86</v>
      </c>
      <c r="I26" s="8" t="s">
        <v>87</v>
      </c>
      <c r="J26" s="8"/>
      <c r="K26" s="6" t="str">
        <f>"270,0"</f>
        <v>270,0</v>
      </c>
      <c r="L26" s="7" t="str">
        <f>"154,5480"</f>
        <v>154,5480</v>
      </c>
      <c r="M26" s="6" t="s">
        <v>207</v>
      </c>
    </row>
    <row r="28" spans="1:13" ht="15" x14ac:dyDescent="0.2">
      <c r="A28" s="35" t="s">
        <v>557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3" x14ac:dyDescent="0.2">
      <c r="A29" s="6" t="s">
        <v>1129</v>
      </c>
      <c r="B29" s="6" t="s">
        <v>1130</v>
      </c>
      <c r="C29" s="6" t="s">
        <v>1131</v>
      </c>
      <c r="D29" s="6" t="str">
        <f>"0,5641"</f>
        <v>0,5641</v>
      </c>
      <c r="E29" s="6" t="s">
        <v>18</v>
      </c>
      <c r="F29" s="6" t="s">
        <v>708</v>
      </c>
      <c r="G29" s="7" t="s">
        <v>168</v>
      </c>
      <c r="H29" s="7" t="s">
        <v>200</v>
      </c>
      <c r="I29" s="7" t="s">
        <v>75</v>
      </c>
      <c r="J29" s="8"/>
      <c r="K29" s="6" t="str">
        <f>"302,5"</f>
        <v>302,5</v>
      </c>
      <c r="L29" s="7" t="str">
        <f>"175,9301"</f>
        <v>175,9301</v>
      </c>
      <c r="M29" s="6" t="s">
        <v>169</v>
      </c>
    </row>
    <row r="31" spans="1:13" ht="15" x14ac:dyDescent="0.2">
      <c r="E31" s="18" t="s">
        <v>102</v>
      </c>
    </row>
    <row r="32" spans="1:13" ht="15" x14ac:dyDescent="0.2">
      <c r="E32" s="18" t="s">
        <v>103</v>
      </c>
    </row>
    <row r="33" spans="1:5" ht="15" x14ac:dyDescent="0.2">
      <c r="E33" s="18" t="s">
        <v>104</v>
      </c>
    </row>
    <row r="34" spans="1:5" ht="15" x14ac:dyDescent="0.2">
      <c r="E34" s="18" t="s">
        <v>105</v>
      </c>
    </row>
    <row r="35" spans="1:5" ht="15" x14ac:dyDescent="0.2">
      <c r="E35" s="18" t="s">
        <v>105</v>
      </c>
    </row>
    <row r="36" spans="1:5" ht="15" x14ac:dyDescent="0.2">
      <c r="E36" s="18" t="s">
        <v>106</v>
      </c>
    </row>
    <row r="37" spans="1:5" ht="15" x14ac:dyDescent="0.2">
      <c r="E37" s="18"/>
    </row>
    <row r="39" spans="1:5" ht="18" x14ac:dyDescent="0.25">
      <c r="A39" s="19" t="s">
        <v>107</v>
      </c>
      <c r="B39" s="19"/>
    </row>
    <row r="40" spans="1:5" ht="15" x14ac:dyDescent="0.2">
      <c r="A40" s="20" t="s">
        <v>108</v>
      </c>
      <c r="B40" s="20"/>
    </row>
    <row r="41" spans="1:5" ht="14.25" x14ac:dyDescent="0.2">
      <c r="A41" s="22"/>
      <c r="B41" s="23" t="s">
        <v>109</v>
      </c>
    </row>
    <row r="42" spans="1:5" ht="15" x14ac:dyDescent="0.2">
      <c r="A42" s="24" t="s">
        <v>110</v>
      </c>
      <c r="B42" s="24" t="s">
        <v>111</v>
      </c>
      <c r="C42" s="24" t="s">
        <v>112</v>
      </c>
      <c r="D42" s="24" t="s">
        <v>113</v>
      </c>
      <c r="E42" s="24" t="s">
        <v>114</v>
      </c>
    </row>
    <row r="43" spans="1:5" x14ac:dyDescent="0.2">
      <c r="A43" s="21" t="s">
        <v>1096</v>
      </c>
      <c r="B43" s="4" t="s">
        <v>109</v>
      </c>
      <c r="C43" s="4" t="s">
        <v>115</v>
      </c>
      <c r="D43" s="4" t="s">
        <v>42</v>
      </c>
      <c r="E43" s="25" t="s">
        <v>1132</v>
      </c>
    </row>
    <row r="46" spans="1:5" ht="15" x14ac:dyDescent="0.2">
      <c r="A46" s="20" t="s">
        <v>118</v>
      </c>
      <c r="B46" s="20"/>
    </row>
    <row r="47" spans="1:5" ht="14.25" x14ac:dyDescent="0.2">
      <c r="A47" s="22"/>
      <c r="B47" s="23" t="s">
        <v>119</v>
      </c>
    </row>
    <row r="48" spans="1:5" ht="15" x14ac:dyDescent="0.2">
      <c r="A48" s="24" t="s">
        <v>110</v>
      </c>
      <c r="B48" s="24" t="s">
        <v>111</v>
      </c>
      <c r="C48" s="24" t="s">
        <v>112</v>
      </c>
      <c r="D48" s="24" t="s">
        <v>113</v>
      </c>
      <c r="E48" s="24" t="s">
        <v>114</v>
      </c>
    </row>
    <row r="49" spans="1:5" x14ac:dyDescent="0.2">
      <c r="A49" s="21" t="s">
        <v>1099</v>
      </c>
      <c r="B49" s="4" t="s">
        <v>120</v>
      </c>
      <c r="C49" s="4" t="s">
        <v>396</v>
      </c>
      <c r="D49" s="4" t="s">
        <v>41</v>
      </c>
      <c r="E49" s="25" t="s">
        <v>1133</v>
      </c>
    </row>
    <row r="51" spans="1:5" ht="14.25" x14ac:dyDescent="0.2">
      <c r="A51" s="22"/>
      <c r="B51" s="23" t="s">
        <v>109</v>
      </c>
    </row>
    <row r="52" spans="1:5" ht="15" x14ac:dyDescent="0.2">
      <c r="A52" s="24" t="s">
        <v>110</v>
      </c>
      <c r="B52" s="24" t="s">
        <v>111</v>
      </c>
      <c r="C52" s="24" t="s">
        <v>112</v>
      </c>
      <c r="D52" s="24" t="s">
        <v>113</v>
      </c>
      <c r="E52" s="24" t="s">
        <v>114</v>
      </c>
    </row>
    <row r="53" spans="1:5" x14ac:dyDescent="0.2">
      <c r="A53" s="21" t="s">
        <v>1122</v>
      </c>
      <c r="B53" s="4" t="s">
        <v>109</v>
      </c>
      <c r="C53" s="4" t="s">
        <v>262</v>
      </c>
      <c r="D53" s="4" t="s">
        <v>200</v>
      </c>
      <c r="E53" s="25" t="s">
        <v>1134</v>
      </c>
    </row>
    <row r="54" spans="1:5" x14ac:dyDescent="0.2">
      <c r="A54" s="21" t="s">
        <v>1113</v>
      </c>
      <c r="B54" s="4" t="s">
        <v>109</v>
      </c>
      <c r="C54" s="4" t="s">
        <v>134</v>
      </c>
      <c r="D54" s="4" t="s">
        <v>179</v>
      </c>
      <c r="E54" s="25" t="s">
        <v>1135</v>
      </c>
    </row>
    <row r="55" spans="1:5" x14ac:dyDescent="0.2">
      <c r="A55" s="21" t="s">
        <v>1103</v>
      </c>
      <c r="B55" s="4" t="s">
        <v>109</v>
      </c>
      <c r="C55" s="4" t="s">
        <v>115</v>
      </c>
      <c r="D55" s="4" t="s">
        <v>142</v>
      </c>
      <c r="E55" s="25" t="s">
        <v>1136</v>
      </c>
    </row>
    <row r="56" spans="1:5" x14ac:dyDescent="0.2">
      <c r="A56" s="21" t="s">
        <v>203</v>
      </c>
      <c r="B56" s="4" t="s">
        <v>109</v>
      </c>
      <c r="C56" s="4" t="s">
        <v>124</v>
      </c>
      <c r="D56" s="4" t="s">
        <v>86</v>
      </c>
      <c r="E56" s="25" t="s">
        <v>1137</v>
      </c>
    </row>
    <row r="57" spans="1:5" x14ac:dyDescent="0.2">
      <c r="A57" s="21" t="s">
        <v>1117</v>
      </c>
      <c r="B57" s="4" t="s">
        <v>109</v>
      </c>
      <c r="C57" s="4" t="s">
        <v>134</v>
      </c>
      <c r="D57" s="4" t="s">
        <v>44</v>
      </c>
      <c r="E57" s="25" t="s">
        <v>1138</v>
      </c>
    </row>
    <row r="58" spans="1:5" x14ac:dyDescent="0.2">
      <c r="A58" s="21" t="s">
        <v>181</v>
      </c>
      <c r="B58" s="4" t="s">
        <v>109</v>
      </c>
      <c r="C58" s="4" t="s">
        <v>121</v>
      </c>
      <c r="D58" s="4" t="s">
        <v>178</v>
      </c>
      <c r="E58" s="25" t="s">
        <v>1139</v>
      </c>
    </row>
    <row r="60" spans="1:5" ht="14.25" x14ac:dyDescent="0.2">
      <c r="A60" s="22"/>
      <c r="B60" s="23" t="s">
        <v>227</v>
      </c>
    </row>
    <row r="61" spans="1:5" ht="15" x14ac:dyDescent="0.2">
      <c r="A61" s="24" t="s">
        <v>110</v>
      </c>
      <c r="B61" s="24" t="s">
        <v>111</v>
      </c>
      <c r="C61" s="24" t="s">
        <v>112</v>
      </c>
      <c r="D61" s="24" t="s">
        <v>113</v>
      </c>
      <c r="E61" s="24" t="s">
        <v>114</v>
      </c>
    </row>
    <row r="62" spans="1:5" x14ac:dyDescent="0.2">
      <c r="A62" s="21" t="s">
        <v>1128</v>
      </c>
      <c r="B62" s="4" t="s">
        <v>228</v>
      </c>
      <c r="C62" s="4" t="s">
        <v>598</v>
      </c>
      <c r="D62" s="4" t="s">
        <v>75</v>
      </c>
      <c r="E62" s="25" t="s">
        <v>1140</v>
      </c>
    </row>
    <row r="63" spans="1:5" x14ac:dyDescent="0.2">
      <c r="A63" s="21" t="s">
        <v>1108</v>
      </c>
      <c r="B63" s="4" t="s">
        <v>1141</v>
      </c>
      <c r="C63" s="4" t="s">
        <v>115</v>
      </c>
      <c r="D63" s="4" t="s">
        <v>41</v>
      </c>
      <c r="E63" s="25" t="s">
        <v>1142</v>
      </c>
    </row>
  </sheetData>
  <mergeCells count="19">
    <mergeCell ref="A15:L15"/>
    <mergeCell ref="A19:L19"/>
    <mergeCell ref="A22:L22"/>
    <mergeCell ref="A25:L25"/>
    <mergeCell ref="A28:L2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WPF PRO ТЯГА ЭЛИТА </vt:lpstr>
      <vt:lpstr>WPF PRO ПЛ в мн сл. эк.</vt:lpstr>
      <vt:lpstr>WPF PRO ПЛ в 1-сл. эк.</vt:lpstr>
      <vt:lpstr>WPF PRO ПЛ классик.</vt:lpstr>
      <vt:lpstr>WPF PRO ПЛ безэк.</vt:lpstr>
      <vt:lpstr>WPF PRO Жим в 1-сл. эк.</vt:lpstr>
      <vt:lpstr>WPF PRO Жим безэк.</vt:lpstr>
      <vt:lpstr>WPF PRO Тяга в 1-сл. эк.</vt:lpstr>
      <vt:lpstr>WPF PRO Тяга безэк.</vt:lpstr>
      <vt:lpstr>PRO НЖ 1 вес</vt:lpstr>
      <vt:lpstr>WPF AM ПЛ в 1-сл. эк.</vt:lpstr>
      <vt:lpstr>WPF AM ПЛ классик.</vt:lpstr>
      <vt:lpstr>WPF AM ПЛ безэк.</vt:lpstr>
      <vt:lpstr>WPF AM Жим в мн сл. эк.</vt:lpstr>
      <vt:lpstr>WPF AM Жим в 1-сл. эк.</vt:lpstr>
      <vt:lpstr>WPF AM Жим безэк.</vt:lpstr>
      <vt:lpstr>WPF AM Тяга в 1-сл. эк.</vt:lpstr>
      <vt:lpstr>WPF AM Тяга безэк.</vt:lpstr>
      <vt:lpstr>AM НЖ 1 вес</vt:lpstr>
      <vt:lpstr>AM НЖ 1_2 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</cp:lastModifiedBy>
  <cp:lastPrinted>2015-07-16T19:10:53Z</cp:lastPrinted>
  <dcterms:created xsi:type="dcterms:W3CDTF">2002-06-16T13:36:44Z</dcterms:created>
  <dcterms:modified xsi:type="dcterms:W3CDTF">2019-11-01T21:37:01Z</dcterms:modified>
</cp:coreProperties>
</file>