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vs\Documents\POWERLIFTING\Протоколы\"/>
    </mc:Choice>
  </mc:AlternateContent>
  <bookViews>
    <workbookView xWindow="0" yWindow="0" windowWidth="28800" windowHeight="12135"/>
  </bookViews>
  <sheets>
    <sheet name="WPU c ДК тяга без эк." sheetId="20" r:id="rId1"/>
    <sheet name="WPU тяга без эк." sheetId="19" r:id="rId2"/>
    <sheet name="WPU жим в мн сл. эк. (ЭЛИТА)" sheetId="25" r:id="rId3"/>
    <sheet name="WPU c ДК жим в одн сл. эк." sheetId="16" r:id="rId4"/>
    <sheet name="WPU жим в одн сл. эк." sheetId="15" r:id="rId5"/>
    <sheet name="WPU c ДК жим безэк." sheetId="14" r:id="rId6"/>
    <sheet name="WPU жим безэк." sheetId="13" r:id="rId7"/>
    <sheet name="WPU c ДК пл безэк." sheetId="8" r:id="rId8"/>
    <sheet name="WPU пл безэк." sheetId="7" r:id="rId9"/>
    <sheet name="WPU пл классик." sheetId="5" r:id="rId10"/>
    <sheet name="WPU НЖ 1_2 вес д.к." sheetId="21" r:id="rId11"/>
    <sheet name="WPU НЖ 1 вес д.к." sheetId="22" r:id="rId12"/>
    <sheet name="WPU НЖ 1_2 вес" sheetId="23" r:id="rId13"/>
    <sheet name="WPU НЖ 1 вес" sheetId="24" r:id="rId14"/>
  </sheets>
  <definedNames>
    <definedName name="_FilterDatabase" localSheetId="2" hidden="1">'WPU жим в мн сл. эк. (ЭЛИТА)'!$A$1:$K$3</definedName>
    <definedName name="_FilterDatabase" localSheetId="13" hidden="1">'WPU НЖ 1 вес'!$A$1:$I$3</definedName>
    <definedName name="_FilterDatabase" localSheetId="9" hidden="1">'WPU пл классик.'!$A$1:$S$3</definedName>
  </definedNames>
  <calcPr calcId="152511" refMode="R1C1"/>
</workbook>
</file>

<file path=xl/calcChain.xml><?xml version="1.0" encoding="utf-8"?>
<calcChain xmlns="http://schemas.openxmlformats.org/spreadsheetml/2006/main">
  <c r="L13" i="25" l="1"/>
  <c r="K13" i="25"/>
  <c r="D13" i="25"/>
  <c r="L10" i="25"/>
  <c r="K10" i="25"/>
  <c r="D10" i="25"/>
  <c r="L9" i="25"/>
  <c r="K9" i="25"/>
  <c r="D9" i="25"/>
  <c r="L6" i="25"/>
  <c r="K6" i="25"/>
  <c r="D6" i="25"/>
  <c r="J15" i="24"/>
  <c r="I15" i="24"/>
  <c r="D15" i="24"/>
  <c r="J12" i="24"/>
  <c r="I12" i="24"/>
  <c r="D12" i="24"/>
  <c r="J9" i="24"/>
  <c r="I9" i="24"/>
  <c r="D9" i="24"/>
  <c r="J6" i="24"/>
  <c r="I6" i="24"/>
  <c r="D6" i="24"/>
  <c r="J18" i="23"/>
  <c r="I18" i="23"/>
  <c r="D18" i="23"/>
  <c r="J15" i="23"/>
  <c r="I15" i="23"/>
  <c r="D15" i="23"/>
  <c r="J12" i="23"/>
  <c r="I12" i="23"/>
  <c r="D12" i="23"/>
  <c r="J9" i="23"/>
  <c r="I9" i="23"/>
  <c r="D9" i="23"/>
  <c r="J6" i="23"/>
  <c r="I6" i="23"/>
  <c r="D6" i="23"/>
  <c r="J12" i="22"/>
  <c r="I12" i="22"/>
  <c r="D12" i="22"/>
  <c r="J9" i="22"/>
  <c r="I9" i="22"/>
  <c r="D9" i="22"/>
  <c r="J6" i="22"/>
  <c r="I6" i="22"/>
  <c r="D6" i="22"/>
  <c r="J16" i="21"/>
  <c r="I16" i="21"/>
  <c r="D16" i="21"/>
  <c r="J13" i="21"/>
  <c r="I13" i="21"/>
  <c r="D13" i="21"/>
  <c r="J12" i="21"/>
  <c r="I12" i="21"/>
  <c r="D12" i="21"/>
  <c r="J9" i="21"/>
  <c r="I9" i="21"/>
  <c r="D9" i="21"/>
  <c r="J6" i="21"/>
  <c r="I6" i="21"/>
  <c r="D6" i="21"/>
  <c r="L22" i="20"/>
  <c r="K22" i="20"/>
  <c r="D22" i="20"/>
  <c r="L19" i="20"/>
  <c r="K19" i="20"/>
  <c r="D19" i="20"/>
  <c r="L18" i="20"/>
  <c r="K18" i="20"/>
  <c r="D18" i="20"/>
  <c r="L15" i="20"/>
  <c r="K15" i="20"/>
  <c r="D15" i="20"/>
  <c r="L12" i="20"/>
  <c r="K12" i="20"/>
  <c r="D12" i="20"/>
  <c r="L9" i="20"/>
  <c r="K9" i="20"/>
  <c r="D9" i="20"/>
  <c r="L6" i="20"/>
  <c r="K6" i="20"/>
  <c r="D6" i="20"/>
  <c r="L18" i="19"/>
  <c r="K18" i="19"/>
  <c r="D18" i="19"/>
  <c r="L15" i="19"/>
  <c r="K15" i="19"/>
  <c r="D15" i="19"/>
  <c r="L12" i="19"/>
  <c r="K12" i="19"/>
  <c r="D12" i="19"/>
  <c r="L9" i="19"/>
  <c r="K9" i="19"/>
  <c r="D9" i="19"/>
  <c r="L6" i="19"/>
  <c r="K6" i="19"/>
  <c r="D6" i="19"/>
  <c r="L6" i="16"/>
  <c r="K6" i="16"/>
  <c r="D6" i="16"/>
  <c r="L9" i="15"/>
  <c r="K9" i="15"/>
  <c r="D9" i="15"/>
  <c r="L6" i="15"/>
  <c r="K6" i="15"/>
  <c r="D6" i="15"/>
  <c r="L28" i="14"/>
  <c r="K28" i="14"/>
  <c r="D28" i="14"/>
  <c r="L25" i="14"/>
  <c r="K25" i="14"/>
  <c r="D25" i="14"/>
  <c r="L24" i="14"/>
  <c r="K24" i="14"/>
  <c r="D24" i="14"/>
  <c r="L23" i="14"/>
  <c r="K23" i="14"/>
  <c r="D23" i="14"/>
  <c r="L20" i="14"/>
  <c r="K20" i="14"/>
  <c r="D20" i="14"/>
  <c r="L19" i="14"/>
  <c r="K19" i="14"/>
  <c r="D19" i="14"/>
  <c r="L16" i="14"/>
  <c r="K16" i="14"/>
  <c r="D16" i="14"/>
  <c r="L13" i="14"/>
  <c r="K13" i="14"/>
  <c r="D13" i="14"/>
  <c r="L10" i="14"/>
  <c r="K10" i="14"/>
  <c r="D10" i="14"/>
  <c r="L7" i="14"/>
  <c r="K7" i="14"/>
  <c r="D7" i="14"/>
  <c r="L6" i="14"/>
  <c r="K6" i="14"/>
  <c r="D6" i="14"/>
  <c r="L13" i="13"/>
  <c r="K13" i="13"/>
  <c r="D13" i="13"/>
  <c r="L10" i="13"/>
  <c r="K10" i="13"/>
  <c r="D10" i="13"/>
  <c r="L9" i="13"/>
  <c r="K9" i="13"/>
  <c r="D9" i="13"/>
  <c r="L6" i="13"/>
  <c r="K6" i="13"/>
  <c r="D6" i="13"/>
  <c r="T18" i="8"/>
  <c r="S18" i="8"/>
  <c r="D18" i="8"/>
  <c r="T15" i="8"/>
  <c r="S15" i="8"/>
  <c r="D15" i="8"/>
  <c r="T12" i="8"/>
  <c r="S12" i="8"/>
  <c r="D12" i="8"/>
  <c r="T9" i="8"/>
  <c r="S9" i="8"/>
  <c r="D9" i="8"/>
  <c r="T6" i="8"/>
  <c r="S6" i="8"/>
  <c r="D6" i="8"/>
  <c r="T14" i="7"/>
  <c r="S14" i="7"/>
  <c r="D14" i="7"/>
  <c r="T13" i="7"/>
  <c r="S13" i="7"/>
  <c r="D13" i="7"/>
  <c r="T12" i="7"/>
  <c r="S12" i="7"/>
  <c r="D12" i="7"/>
  <c r="T9" i="7"/>
  <c r="S9" i="7"/>
  <c r="D9" i="7"/>
  <c r="T6" i="7"/>
  <c r="S6" i="7"/>
  <c r="D6" i="7"/>
  <c r="T7" i="5"/>
  <c r="S7" i="5"/>
  <c r="D7" i="5"/>
  <c r="T6" i="5"/>
  <c r="S6" i="5"/>
  <c r="D6" i="5"/>
</calcChain>
</file>

<file path=xl/sharedStrings.xml><?xml version="1.0" encoding="utf-8"?>
<sst xmlns="http://schemas.openxmlformats.org/spreadsheetml/2006/main" count="1428" uniqueCount="460">
  <si>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</si>
  <si>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</si>
  <si>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</si>
  <si>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</si>
  <si>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</si>
  <si>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</si>
  <si>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</si>
  <si>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</si>
  <si>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</si>
  <si>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</si>
  <si>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</si>
  <si>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</si>
  <si>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</si>
  <si>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90</t>
  </si>
  <si>
    <t>Пчельников Илья</t>
  </si>
  <si>
    <t>1. Пчельников Илья</t>
  </si>
  <si>
    <t>Юноши 16 - 19 (31.07.2000)/18</t>
  </si>
  <si>
    <t>85,50</t>
  </si>
  <si>
    <t xml:space="preserve">лично </t>
  </si>
  <si>
    <t xml:space="preserve">Липецк/Липецкая область </t>
  </si>
  <si>
    <t>150,0</t>
  </si>
  <si>
    <t>160,0</t>
  </si>
  <si>
    <t>170,0</t>
  </si>
  <si>
    <t>90,0</t>
  </si>
  <si>
    <t>95,0</t>
  </si>
  <si>
    <t>100,0</t>
  </si>
  <si>
    <t>180,0</t>
  </si>
  <si>
    <t xml:space="preserve"> </t>
  </si>
  <si>
    <t>Ярлыков Максим</t>
  </si>
  <si>
    <t>1. Ярлыков Максим</t>
  </si>
  <si>
    <t>Открытая (16.10.1984)/34</t>
  </si>
  <si>
    <t>90,00</t>
  </si>
  <si>
    <t xml:space="preserve">Мытищи/Московская область </t>
  </si>
  <si>
    <t>220,0</t>
  </si>
  <si>
    <t>230,0</t>
  </si>
  <si>
    <t>235,0</t>
  </si>
  <si>
    <t>155,0</t>
  </si>
  <si>
    <t>165,0</t>
  </si>
  <si>
    <t>167,5</t>
  </si>
  <si>
    <t>250,0</t>
  </si>
  <si>
    <t>260,0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</si>
  <si>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</si>
  <si>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</si>
  <si>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</si>
  <si>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</si>
  <si>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</si>
  <si>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</si>
  <si>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</si>
  <si>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</si>
  <si>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</si>
  <si>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</si>
  <si>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</si>
  <si>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</si>
  <si>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</si>
  <si>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Юноши 16 - 19 </t>
  </si>
  <si>
    <t>415,0</t>
  </si>
  <si>
    <t>272,3230</t>
  </si>
  <si>
    <t xml:space="preserve">Открытая </t>
  </si>
  <si>
    <t>650,0</t>
  </si>
  <si>
    <t>414,9600</t>
  </si>
  <si>
    <t>ВЕСОВАЯ КАТЕГОРИЯ   82.5</t>
  </si>
  <si>
    <t>-. Пэдурец Евгений</t>
  </si>
  <si>
    <t>Открытая (19.05.1999)/19</t>
  </si>
  <si>
    <t>76,50</t>
  </si>
  <si>
    <t xml:space="preserve">Москва </t>
  </si>
  <si>
    <t>215,0</t>
  </si>
  <si>
    <t>115,0</t>
  </si>
  <si>
    <t>210,0</t>
  </si>
  <si>
    <t>Гринько Александр</t>
  </si>
  <si>
    <t>1. Гринько Александр</t>
  </si>
  <si>
    <t>Открытая (24.08.1994)/24</t>
  </si>
  <si>
    <t>89,70</t>
  </si>
  <si>
    <t>240,0</t>
  </si>
  <si>
    <t>145,0</t>
  </si>
  <si>
    <t>245,0</t>
  </si>
  <si>
    <t>255,0</t>
  </si>
  <si>
    <t>ВЕСОВАЯ КАТЕГОРИЯ   110</t>
  </si>
  <si>
    <t>-. Омаров Закир</t>
  </si>
  <si>
    <t>Юниоры 20 - 23 (31.07.1998)/20</t>
  </si>
  <si>
    <t>104,70</t>
  </si>
  <si>
    <t>185,0</t>
  </si>
  <si>
    <t>190,0</t>
  </si>
  <si>
    <t>195,0</t>
  </si>
  <si>
    <t>110,0</t>
  </si>
  <si>
    <t>112,5</t>
  </si>
  <si>
    <t>200,0</t>
  </si>
  <si>
    <t>Лучников Илья</t>
  </si>
  <si>
    <t>1. Лучников Илья</t>
  </si>
  <si>
    <t>Открытая (11.03.1974)/44</t>
  </si>
  <si>
    <t>108,00</t>
  </si>
  <si>
    <t xml:space="preserve">Мичуринск/Тамбовская область </t>
  </si>
  <si>
    <t>270,0</t>
  </si>
  <si>
    <t>172,5</t>
  </si>
  <si>
    <t>280,0</t>
  </si>
  <si>
    <t>295,0</t>
  </si>
  <si>
    <t>305,0</t>
  </si>
  <si>
    <t>Ветераны 40 - 44 (11.03.1974)/44</t>
  </si>
  <si>
    <t>747,5</t>
  </si>
  <si>
    <t>442,4452</t>
  </si>
  <si>
    <t>625,0</t>
  </si>
  <si>
    <t>399,6875</t>
  </si>
  <si>
    <t xml:space="preserve">Ветераны </t>
  </si>
  <si>
    <t xml:space="preserve">Ветераны 40 - 44 </t>
  </si>
  <si>
    <t>461,4704</t>
  </si>
  <si>
    <t>Гринько Эллина</t>
  </si>
  <si>
    <t>1. Гринько Эллина</t>
  </si>
  <si>
    <t>Открытая (10.02.1994)/24</t>
  </si>
  <si>
    <t>81,70</t>
  </si>
  <si>
    <t>120,0</t>
  </si>
  <si>
    <t>70,0</t>
  </si>
  <si>
    <t>72,5</t>
  </si>
  <si>
    <t>75,0</t>
  </si>
  <si>
    <t>130,0</t>
  </si>
  <si>
    <t>140,0</t>
  </si>
  <si>
    <t>ВЕСОВАЯ КАТЕГОРИЯ   75</t>
  </si>
  <si>
    <t>Шарапов Владислав</t>
  </si>
  <si>
    <t>1. Шарапов Владислав</t>
  </si>
  <si>
    <t>Юниоры 20 - 23 (19.01.1998)/20</t>
  </si>
  <si>
    <t>74,30</t>
  </si>
  <si>
    <t>162,5</t>
  </si>
  <si>
    <t>ВЕСОВАЯ КАТЕГОРИЯ   100</t>
  </si>
  <si>
    <t>Скорняков Вадим</t>
  </si>
  <si>
    <t>1. Скорняков Вадим</t>
  </si>
  <si>
    <t>Открытая (23.10.1982)/36</t>
  </si>
  <si>
    <t>94,20</t>
  </si>
  <si>
    <t>127,5</t>
  </si>
  <si>
    <t>132,5</t>
  </si>
  <si>
    <t>Криуленко Павел</t>
  </si>
  <si>
    <t>1. Криуленко Павел</t>
  </si>
  <si>
    <t>Юниоры 20 - 23 (20.11.1997)/21</t>
  </si>
  <si>
    <t>102,80</t>
  </si>
  <si>
    <t>265,0</t>
  </si>
  <si>
    <t>ВЕСОВАЯ КАТЕГОРИЯ   125</t>
  </si>
  <si>
    <t>Самсонов Вадим</t>
  </si>
  <si>
    <t>1. Самсонов Вадим</t>
  </si>
  <si>
    <t>Ветераны 40 - 44 (05.12.1974)/43</t>
  </si>
  <si>
    <t>125,00</t>
  </si>
  <si>
    <t>225,0</t>
  </si>
  <si>
    <t>252,5</t>
  </si>
  <si>
    <t xml:space="preserve">Женщины </t>
  </si>
  <si>
    <t>82,5</t>
  </si>
  <si>
    <t>335,0</t>
  </si>
  <si>
    <t>303,0410</t>
  </si>
  <si>
    <t xml:space="preserve">Юниоры </t>
  </si>
  <si>
    <t xml:space="preserve">Юниоры 20 - 23 </t>
  </si>
  <si>
    <t>675,0</t>
  </si>
  <si>
    <t>406,4175</t>
  </si>
  <si>
    <t>437,5</t>
  </si>
  <si>
    <t>313,8187</t>
  </si>
  <si>
    <t>527,5</t>
  </si>
  <si>
    <t>329,3710</t>
  </si>
  <si>
    <t>125,0</t>
  </si>
  <si>
    <t>607,5</t>
  </si>
  <si>
    <t>356,8843</t>
  </si>
  <si>
    <t>Дуров Дмитрий</t>
  </si>
  <si>
    <t>1. Дуров Дмитрий</t>
  </si>
  <si>
    <t>Открытая (04.02.1992)/26</t>
  </si>
  <si>
    <t>80,80</t>
  </si>
  <si>
    <t xml:space="preserve">Усмань/Липецкая область </t>
  </si>
  <si>
    <t>Еловиков Роман</t>
  </si>
  <si>
    <t>1. Еловиков Роман</t>
  </si>
  <si>
    <t>Открытая (20.07.1982)/36</t>
  </si>
  <si>
    <t>88,50</t>
  </si>
  <si>
    <t xml:space="preserve">Калуга/Калужская область </t>
  </si>
  <si>
    <t>205,0</t>
  </si>
  <si>
    <t>-. Дятлов Евгений</t>
  </si>
  <si>
    <t>Открытая (01.06.1985)/33</t>
  </si>
  <si>
    <t>88,80</t>
  </si>
  <si>
    <t>Мордвинцев Олег</t>
  </si>
  <si>
    <t>1. Мордвинцев Олег</t>
  </si>
  <si>
    <t>Ветераны 45 - 49 (21.03.1973)/45</t>
  </si>
  <si>
    <t>115,00</t>
  </si>
  <si>
    <t xml:space="preserve">Тамбов/Тамбовская область </t>
  </si>
  <si>
    <t>175,0</t>
  </si>
  <si>
    <t>132,0200</t>
  </si>
  <si>
    <t>105,1675</t>
  </si>
  <si>
    <t xml:space="preserve">Ветераны 45 - 49 </t>
  </si>
  <si>
    <t>101,1550</t>
  </si>
  <si>
    <t>Результат</t>
  </si>
  <si>
    <t>ВЕСОВАЯ КАТЕГОРИЯ   60</t>
  </si>
  <si>
    <t>Иванов Даниил</t>
  </si>
  <si>
    <t>1. Иванов Даниил</t>
  </si>
  <si>
    <t>Юноши 14 - 15 (11.08.2003)/15</t>
  </si>
  <si>
    <t>60,00</t>
  </si>
  <si>
    <t>67,5</t>
  </si>
  <si>
    <t>Уваров Алексей</t>
  </si>
  <si>
    <t>1. Уваров Алексей</t>
  </si>
  <si>
    <t>Юноши 16 - 19 (19.03.2001)/17</t>
  </si>
  <si>
    <t>ВЕСОВАЯ КАТЕГОРИЯ   67.5</t>
  </si>
  <si>
    <t>Гриднев Максим</t>
  </si>
  <si>
    <t>1. Гриднев Максим</t>
  </si>
  <si>
    <t>Открытая (31.10.1992)/26</t>
  </si>
  <si>
    <t>67,40</t>
  </si>
  <si>
    <t>157,5</t>
  </si>
  <si>
    <t>-. Чиликов Вячеслав</t>
  </si>
  <si>
    <t>Открытая (04.01.1991)/27</t>
  </si>
  <si>
    <t>72,10</t>
  </si>
  <si>
    <t xml:space="preserve">Тула/Тульская область </t>
  </si>
  <si>
    <t>137,5</t>
  </si>
  <si>
    <t>Юршин Дмитрий</t>
  </si>
  <si>
    <t>1. Юршин Дмитрий</t>
  </si>
  <si>
    <t>Юноши 16 - 19 (27.08.2001)/17</t>
  </si>
  <si>
    <t>79,60</t>
  </si>
  <si>
    <t>Молюков Кирилл</t>
  </si>
  <si>
    <t>1. Молюков Кирилл</t>
  </si>
  <si>
    <t>Юниоры 20 - 23 (08.04.1997)/21</t>
  </si>
  <si>
    <t>135,0</t>
  </si>
  <si>
    <t>Талдыкин Алексей</t>
  </si>
  <si>
    <t>1. Талдыкин Алексей</t>
  </si>
  <si>
    <t>Открытая (29.03.1980)/38</t>
  </si>
  <si>
    <t>88,40</t>
  </si>
  <si>
    <t>Золотокрылин Леонид</t>
  </si>
  <si>
    <t>1. Золотокрылин Леонид</t>
  </si>
  <si>
    <t>Открытая (23.07.1989)/29</t>
  </si>
  <si>
    <t>93,70</t>
  </si>
  <si>
    <t>Ионов Александр</t>
  </si>
  <si>
    <t>2. Ионов Александр</t>
  </si>
  <si>
    <t>Открытая (21.12.1989)/28</t>
  </si>
  <si>
    <t>97,10</t>
  </si>
  <si>
    <t xml:space="preserve">Владимир/Владимирская область </t>
  </si>
  <si>
    <t>Зайцев Владимир</t>
  </si>
  <si>
    <t>1. Зайцев Владимир</t>
  </si>
  <si>
    <t>Ветераны 45 - 49 (23.04.1971)/47</t>
  </si>
  <si>
    <t>97,60</t>
  </si>
  <si>
    <t>Буянов Александр</t>
  </si>
  <si>
    <t>1. Буянов Александр</t>
  </si>
  <si>
    <t>Открытая (24.03.1980)/38</t>
  </si>
  <si>
    <t>107,50</t>
  </si>
  <si>
    <t>89,0370</t>
  </si>
  <si>
    <t>60,0</t>
  </si>
  <si>
    <t>81,0255</t>
  </si>
  <si>
    <t xml:space="preserve">Юноши 14 - 15 </t>
  </si>
  <si>
    <t>63,9675</t>
  </si>
  <si>
    <t>86,1840</t>
  </si>
  <si>
    <t>127,3635</t>
  </si>
  <si>
    <t>103,2900</t>
  </si>
  <si>
    <t>101,6565</t>
  </si>
  <si>
    <t>96,6600</t>
  </si>
  <si>
    <t>88,9200</t>
  </si>
  <si>
    <t>103,0913</t>
  </si>
  <si>
    <t>Маньшин Александр</t>
  </si>
  <si>
    <t>1. Маньшин Александр</t>
  </si>
  <si>
    <t>Ветераны 55 - 59 (26.10.1962)/56</t>
  </si>
  <si>
    <t>192,5</t>
  </si>
  <si>
    <t>Ольховский Александр</t>
  </si>
  <si>
    <t>1. Ольховский Александр</t>
  </si>
  <si>
    <t>Открытая (25.12.1978)/39</t>
  </si>
  <si>
    <t>109,30</t>
  </si>
  <si>
    <t xml:space="preserve">Воронеж/Воронежская область </t>
  </si>
  <si>
    <t>150,3735</t>
  </si>
  <si>
    <t xml:space="preserve">Ветераны 55 - 59 </t>
  </si>
  <si>
    <t>138,1789</t>
  </si>
  <si>
    <t>-. Барабанщиков Александр</t>
  </si>
  <si>
    <t>Открытая (12.03.1996)/22</t>
  </si>
  <si>
    <t>212,5</t>
  </si>
  <si>
    <t>ВЕСОВАЯ КАТЕГОРИЯ   48</t>
  </si>
  <si>
    <t>Жукова Валерия</t>
  </si>
  <si>
    <t>1. Жукова Валерия</t>
  </si>
  <si>
    <t>Юниорки 20 - 23 (18.07.1998)/20</t>
  </si>
  <si>
    <t>47,10</t>
  </si>
  <si>
    <t>Бородина Божена</t>
  </si>
  <si>
    <t>1. Бородина Божена</t>
  </si>
  <si>
    <t>Юниорки 20 - 23 (09.04.1998)/20</t>
  </si>
  <si>
    <t>105,0</t>
  </si>
  <si>
    <t>107,5</t>
  </si>
  <si>
    <t>Брезжунов Даниил</t>
  </si>
  <si>
    <t>1. Брезжунов Даниил</t>
  </si>
  <si>
    <t>Юноши 16 - 19 (22.02.2001)/17</t>
  </si>
  <si>
    <t>64,20</t>
  </si>
  <si>
    <t xml:space="preserve">Томилин М </t>
  </si>
  <si>
    <t>Гатовский Евгений</t>
  </si>
  <si>
    <t>1. Гатовский Евгений</t>
  </si>
  <si>
    <t>Юниоры 20 - 23 (08.01.1997)/21</t>
  </si>
  <si>
    <t>98,10</t>
  </si>
  <si>
    <t xml:space="preserve">Солнечногорск/Московская область </t>
  </si>
  <si>
    <t xml:space="preserve">Юниорки </t>
  </si>
  <si>
    <t>107,2785</t>
  </si>
  <si>
    <t>48,0</t>
  </si>
  <si>
    <t>100,7100</t>
  </si>
  <si>
    <t>104,4550</t>
  </si>
  <si>
    <t>156,4170</t>
  </si>
  <si>
    <t>180,5295</t>
  </si>
  <si>
    <t>Мишин Александр</t>
  </si>
  <si>
    <t>1. Мишин Александр</t>
  </si>
  <si>
    <t>Ветераны 40 - 44 (25.12.1975)/42</t>
  </si>
  <si>
    <t>73,50</t>
  </si>
  <si>
    <t>152,5</t>
  </si>
  <si>
    <t>Коровин Роман</t>
  </si>
  <si>
    <t>1. Коровин Роман</t>
  </si>
  <si>
    <t>Открытая (19.12.1982)/35</t>
  </si>
  <si>
    <t>207,5</t>
  </si>
  <si>
    <t>Шляхитский Александр</t>
  </si>
  <si>
    <t>1. Шляхитский Александр</t>
  </si>
  <si>
    <t>Открытая (09.02.1980)/38</t>
  </si>
  <si>
    <t>102,30</t>
  </si>
  <si>
    <t>Кузыченко Павел</t>
  </si>
  <si>
    <t>2. Кузыченко Павел</t>
  </si>
  <si>
    <t>Открытая (25.02.1990)/28</t>
  </si>
  <si>
    <t>103,70</t>
  </si>
  <si>
    <t>126,6440</t>
  </si>
  <si>
    <t>153,8160</t>
  </si>
  <si>
    <t>132,0440</t>
  </si>
  <si>
    <t>130,8720</t>
  </si>
  <si>
    <t>129,5630</t>
  </si>
  <si>
    <t>148,3346</t>
  </si>
  <si>
    <t>129,0198</t>
  </si>
  <si>
    <t>Открытый ЧЕМПИОНАТ РОССИИ WPU 2018
WPU c ДК Становая тяга Безэкипировочная
Липецк/Липецкая область 2 декабря 2018 г.</t>
  </si>
  <si>
    <t>Открытый ЧЕМПИОНАТ РОССИИ WPU 2018
WPU Становая тяга Безэкипировочная
Липецк/Липецкая область 2 декабря 2018 г.</t>
  </si>
  <si>
    <t>Открытый ЧЕМПИОНАТ РОССИИ WPU 2018
WPU c ДК Жим лежа в Однослойной экипировке
Липецк/Липецкая область 2 декабря 2018 г.</t>
  </si>
  <si>
    <t>Открытый ЧЕМПИОНАТ РОССИИ WPU 2018
WPU Жим лежа в Однослойной экипировке
Липецк/Липецкая область 2 декабря 2018 г.</t>
  </si>
  <si>
    <t>Открытый ЧЕМПИОНАТ РОССИИ WPU 2018
WPU c ДК Жим лежа Безэкипировочный
Липецк/Липецкая область 2 декабря 2018 г.</t>
  </si>
  <si>
    <t>Открытый ЧЕМПИОНАТ РОССИИ WPU 2018
WPU Жим лежа Безэкипировочный
Липецк/Липецкая область 2 декабря 2018 г.</t>
  </si>
  <si>
    <t>Открытый ЧЕМПИОНАТ РОССИИ WPU 2018
WPU c ДК Пауэрлифтинг Безэкипировочный
Липецк/Липецкая область 2 декабря 2018 г.</t>
  </si>
  <si>
    <t>Открытый ЧЕМПИОНАТ РОССИИ WPU 2018
WPU Пауэрлифтинг Безэкипировочный
Липецк/Липецкая область 2 декабря 2018 г.</t>
  </si>
  <si>
    <t>Открытый ЧЕМПИОНАТ РОССИИ WPU 2018
WPU Пауэрлифтинг Классический
Липецк/Липецкая область 2 декабря 2018 г.</t>
  </si>
  <si>
    <t>Открытый ЧЕМПИОНАТ РОССИИ WPU 2018
WPU Народный жим (1/2 вес) д.к.
Липецк/Липецкая область 2 декабря 2018 г.</t>
  </si>
  <si>
    <t>Gloss</t>
  </si>
  <si>
    <t>Жим мн. повт.</t>
  </si>
  <si>
    <t>Тоннаж</t>
  </si>
  <si>
    <t>Вес</t>
  </si>
  <si>
    <t>Повторы</t>
  </si>
  <si>
    <t>1. Самсонова Ольга</t>
  </si>
  <si>
    <t>Мастера 40 - 49 (06.08.1975)/43</t>
  </si>
  <si>
    <t>59,90</t>
  </si>
  <si>
    <t>30,0</t>
  </si>
  <si>
    <t>41,0</t>
  </si>
  <si>
    <t>ВЕСОВАЯ КАТЕГОРИЯ   56</t>
  </si>
  <si>
    <t>1. Ерахтин Ярослав</t>
  </si>
  <si>
    <t>Юноши 13 - 19 (13.01.2006)/12</t>
  </si>
  <si>
    <t>53,70</t>
  </si>
  <si>
    <t>27,5</t>
  </si>
  <si>
    <t>Юноши 13 - 19 (11.08.2003)/15</t>
  </si>
  <si>
    <t>67,50</t>
  </si>
  <si>
    <t>35,0</t>
  </si>
  <si>
    <t>39,0</t>
  </si>
  <si>
    <t>2. Куклев Максим</t>
  </si>
  <si>
    <t>Юноши 13 - 19 (08.04.2003)/15</t>
  </si>
  <si>
    <t>66,80</t>
  </si>
  <si>
    <t>27,0</t>
  </si>
  <si>
    <t>1. Иноземцев Максим</t>
  </si>
  <si>
    <t>Юноши 13 - 19 (24.09.2000)/18</t>
  </si>
  <si>
    <t>77,50</t>
  </si>
  <si>
    <t>40,0</t>
  </si>
  <si>
    <t>32,0</t>
  </si>
  <si>
    <t xml:space="preserve">Мастера </t>
  </si>
  <si>
    <t xml:space="preserve">Gloss </t>
  </si>
  <si>
    <t>Самсонова Ольга</t>
  </si>
  <si>
    <t xml:space="preserve">Мастера 40 - 49 </t>
  </si>
  <si>
    <t>1230,0</t>
  </si>
  <si>
    <t>1254,0538</t>
  </si>
  <si>
    <t xml:space="preserve">Юноши 13 - 19 </t>
  </si>
  <si>
    <t>1365,0</t>
  </si>
  <si>
    <t>1021,5660</t>
  </si>
  <si>
    <t>Иноземцев Максим</t>
  </si>
  <si>
    <t>1280,0</t>
  </si>
  <si>
    <t>860,6720</t>
  </si>
  <si>
    <t>Ерахтин Ярослав</t>
  </si>
  <si>
    <t>56,0</t>
  </si>
  <si>
    <t>825,0</t>
  </si>
  <si>
    <t>769,7662</t>
  </si>
  <si>
    <t>Куклев Максим</t>
  </si>
  <si>
    <t>945,0</t>
  </si>
  <si>
    <t>713,5695</t>
  </si>
  <si>
    <t>Открытый ЧЕМПИОНАТ РОССИИ WPU 2018
WPU Народный жим (1 вес) д.к.
Липецк/Липецкая область 2 декабря 2018 г.</t>
  </si>
  <si>
    <t>1. Беляев Роман</t>
  </si>
  <si>
    <t>Открытая (14.10.1992)/26</t>
  </si>
  <si>
    <t>66,65</t>
  </si>
  <si>
    <t>18,0</t>
  </si>
  <si>
    <t>1. Смольянинов Валерий</t>
  </si>
  <si>
    <t>Открытая (26.10.1995)/23</t>
  </si>
  <si>
    <t>71,45</t>
  </si>
  <si>
    <t>34,0</t>
  </si>
  <si>
    <t>23,0</t>
  </si>
  <si>
    <t>Смольянинов Валерий</t>
  </si>
  <si>
    <t>2465,0</t>
  </si>
  <si>
    <t>1761,1193</t>
  </si>
  <si>
    <t>2070,0</t>
  </si>
  <si>
    <t>1279,4670</t>
  </si>
  <si>
    <t>Беляев Роман</t>
  </si>
  <si>
    <t>1215,0</t>
  </si>
  <si>
    <t>919,2325</t>
  </si>
  <si>
    <t>Открытый ЧЕМПИОНАТ РОССИИ WPU 2018
WPU Народный жим (1/2 вес)
Липецк/Липецкая область 2 декабря 2018 г.</t>
  </si>
  <si>
    <t>1. Макарова Елена</t>
  </si>
  <si>
    <t>Мастера 50 - 59 (08.08.1962)/56</t>
  </si>
  <si>
    <t>70,00</t>
  </si>
  <si>
    <t>1. Ульяненко Павел</t>
  </si>
  <si>
    <t>Юноши 13 - 19 (11.04.2002)/16</t>
  </si>
  <si>
    <t>1. Титов Арсений</t>
  </si>
  <si>
    <t>Юноши 13 - 19 (25.03.2002)/16</t>
  </si>
  <si>
    <t>65,20</t>
  </si>
  <si>
    <t>29,0</t>
  </si>
  <si>
    <t>1. Рубцов Алексей</t>
  </si>
  <si>
    <t>Юноши 13 - 19 (04.12.2004)/13</t>
  </si>
  <si>
    <t>68,30</t>
  </si>
  <si>
    <t>26,0</t>
  </si>
  <si>
    <t>1. Чейкин Лев</t>
  </si>
  <si>
    <t>Юноши 13 - 19 (22.09.1999)/19</t>
  </si>
  <si>
    <t>80,60</t>
  </si>
  <si>
    <t>42,5</t>
  </si>
  <si>
    <t>46,0</t>
  </si>
  <si>
    <t>Макарова Елена</t>
  </si>
  <si>
    <t xml:space="preserve">Мастера 50 - 59 </t>
  </si>
  <si>
    <t>1225,0</t>
  </si>
  <si>
    <t>1337,7695</t>
  </si>
  <si>
    <t>Чейкин Лев</t>
  </si>
  <si>
    <t>1955,0</t>
  </si>
  <si>
    <t>1279,5475</t>
  </si>
  <si>
    <t>Ульяненко Павел</t>
  </si>
  <si>
    <t>1200,0</t>
  </si>
  <si>
    <t>999,4200</t>
  </si>
  <si>
    <t>Титов Арсений</t>
  </si>
  <si>
    <t>1015,0</t>
  </si>
  <si>
    <t>782,7680</t>
  </si>
  <si>
    <t>Рубцов Алексей</t>
  </si>
  <si>
    <t>910,0</t>
  </si>
  <si>
    <t>674,3555</t>
  </si>
  <si>
    <t>Открытый ЧЕМПИОНАТ РОССИИ WPU 2018
WPU Народный жим (1 вес)
Липецк/Липецкая область 2 декабря 2018 г.</t>
  </si>
  <si>
    <t>1. Грачев Сергей</t>
  </si>
  <si>
    <t>Открытая (28.10.1991)/27</t>
  </si>
  <si>
    <t>65,60</t>
  </si>
  <si>
    <t>28,0</t>
  </si>
  <si>
    <t>36,0</t>
  </si>
  <si>
    <t>1. Сошнин Олег</t>
  </si>
  <si>
    <t>Открытая (12.03.1988)/30</t>
  </si>
  <si>
    <t>1. Калинин Михаил</t>
  </si>
  <si>
    <t>Мастера 40 - 49 (22.07.1975)/43</t>
  </si>
  <si>
    <t>14,0</t>
  </si>
  <si>
    <t>Сошнин Олег</t>
  </si>
  <si>
    <t>3690,0</t>
  </si>
  <si>
    <t>2257,7266</t>
  </si>
  <si>
    <t>2970,0</t>
  </si>
  <si>
    <t>1940,7465</t>
  </si>
  <si>
    <t>Грачев Сергей</t>
  </si>
  <si>
    <t>1890,0</t>
  </si>
  <si>
    <t>1449,7246</t>
  </si>
  <si>
    <t>Калинин Михаил</t>
  </si>
  <si>
    <t>1505,0</t>
  </si>
  <si>
    <t>878,7022</t>
  </si>
  <si>
    <t>Открытый ЧЕМПИОНАТ РОССИИ WPU 2018 ЭЛИТА ЖИМ ЛЕЖА В ЭКИПИРОВКЕ
WPU Жим лежа в Многослойной экипировке
Липецк/Липецкая область 2 декабря 2018 г.</t>
  </si>
  <si>
    <t>275,0</t>
  </si>
  <si>
    <t>1. Рысцов Александр</t>
  </si>
  <si>
    <t>Открытая (02.12.1979)/39</t>
  </si>
  <si>
    <t>114,50</t>
  </si>
  <si>
    <t xml:space="preserve">Рассказово/Тамбовская область </t>
  </si>
  <si>
    <t>285,0</t>
  </si>
  <si>
    <t>2. Внуков Олег</t>
  </si>
  <si>
    <t>Открытая (11.06.1975)/43</t>
  </si>
  <si>
    <t>124,50</t>
  </si>
  <si>
    <t>290,0</t>
  </si>
  <si>
    <t>ВЕСОВАЯ КАТЕГОРИЯ   140</t>
  </si>
  <si>
    <t>-. Филатов Василий</t>
  </si>
  <si>
    <t>Открытая (29.09.1986)/32</t>
  </si>
  <si>
    <t>138,70</t>
  </si>
  <si>
    <t xml:space="preserve">Люберцы/Московская область </t>
  </si>
  <si>
    <t>370,0</t>
  </si>
  <si>
    <t>Рысцов Александр</t>
  </si>
  <si>
    <t>165,7845</t>
  </si>
  <si>
    <t>162,1675</t>
  </si>
  <si>
    <t>Внуков Олег</t>
  </si>
  <si>
    <t>159,6840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</si>
</sst>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1" t="s">
        <v>306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12</v>
      </c>
      <c r="H3" s="41"/>
      <c r="I3" s="41"/>
      <c r="J3" s="41"/>
      <c r="K3" s="41" t="s">
        <v>178</v>
      </c>
      <c r="L3" s="41" t="s">
        <v>3</v>
      </c>
      <c r="M3" s="27" t="s">
        <v>2</v>
      </c>
    </row>
    <row r="4" spans="1:13" s="1" customFormat="1" ht="33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28"/>
    </row>
    <row r="5" spans="1:13" ht="15" x14ac:dyDescent="0.2">
      <c r="A5" s="29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2">
      <c r="A6" s="18" t="s">
        <v>105</v>
      </c>
      <c r="B6" s="18" t="s">
        <v>106</v>
      </c>
      <c r="C6" s="18" t="s">
        <v>107</v>
      </c>
      <c r="D6" s="18" t="str">
        <f>"0,9046"</f>
        <v>0,9046</v>
      </c>
      <c r="E6" s="18" t="s">
        <v>18</v>
      </c>
      <c r="F6" s="18" t="s">
        <v>19</v>
      </c>
      <c r="G6" s="22" t="s">
        <v>113</v>
      </c>
      <c r="H6" s="21"/>
      <c r="I6" s="21"/>
      <c r="J6" s="21"/>
      <c r="K6" s="18" t="str">
        <f>"140,0"</f>
        <v>140,0</v>
      </c>
      <c r="L6" s="22" t="str">
        <f>"126,6440"</f>
        <v>126,6440</v>
      </c>
      <c r="M6" s="18" t="s">
        <v>27</v>
      </c>
    </row>
    <row r="8" spans="1:13" ht="15" x14ac:dyDescent="0.2">
      <c r="A8" s="30" t="s">
        <v>114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x14ac:dyDescent="0.2">
      <c r="A9" s="18" t="s">
        <v>283</v>
      </c>
      <c r="B9" s="18" t="s">
        <v>284</v>
      </c>
      <c r="C9" s="18" t="s">
        <v>285</v>
      </c>
      <c r="D9" s="18" t="str">
        <f>"0,7228"</f>
        <v>0,7228</v>
      </c>
      <c r="E9" s="18" t="s">
        <v>18</v>
      </c>
      <c r="F9" s="18" t="s">
        <v>19</v>
      </c>
      <c r="G9" s="21" t="s">
        <v>286</v>
      </c>
      <c r="H9" s="22" t="s">
        <v>286</v>
      </c>
      <c r="I9" s="22" t="s">
        <v>173</v>
      </c>
      <c r="J9" s="21"/>
      <c r="K9" s="18" t="str">
        <f>"175,0"</f>
        <v>175,0</v>
      </c>
      <c r="L9" s="22" t="str">
        <f>"129,0198"</f>
        <v>129,0198</v>
      </c>
      <c r="M9" s="18" t="s">
        <v>27</v>
      </c>
    </row>
    <row r="11" spans="1:13" ht="15" x14ac:dyDescent="0.2">
      <c r="A11" s="30" t="s">
        <v>13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3" x14ac:dyDescent="0.2">
      <c r="A12" s="18" t="s">
        <v>288</v>
      </c>
      <c r="B12" s="18" t="s">
        <v>289</v>
      </c>
      <c r="C12" s="18" t="s">
        <v>31</v>
      </c>
      <c r="D12" s="18" t="str">
        <f>"0,6384"</f>
        <v>0,6384</v>
      </c>
      <c r="E12" s="18" t="s">
        <v>18</v>
      </c>
      <c r="F12" s="18" t="s">
        <v>19</v>
      </c>
      <c r="G12" s="22" t="s">
        <v>164</v>
      </c>
      <c r="H12" s="21" t="s">
        <v>65</v>
      </c>
      <c r="I12" s="21" t="s">
        <v>65</v>
      </c>
      <c r="J12" s="21"/>
      <c r="K12" s="18" t="str">
        <f>"205,0"</f>
        <v>205,0</v>
      </c>
      <c r="L12" s="22" t="str">
        <f>"130,8720"</f>
        <v>130,8720</v>
      </c>
      <c r="M12" s="18" t="s">
        <v>27</v>
      </c>
    </row>
    <row r="14" spans="1:13" ht="15" x14ac:dyDescent="0.2">
      <c r="A14" s="30" t="s">
        <v>120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x14ac:dyDescent="0.2">
      <c r="A15" s="18" t="s">
        <v>122</v>
      </c>
      <c r="B15" s="18" t="s">
        <v>123</v>
      </c>
      <c r="C15" s="18" t="s">
        <v>124</v>
      </c>
      <c r="D15" s="18" t="str">
        <f>"0,6244"</f>
        <v>0,6244</v>
      </c>
      <c r="E15" s="18" t="s">
        <v>18</v>
      </c>
      <c r="F15" s="18" t="s">
        <v>64</v>
      </c>
      <c r="G15" s="22" t="s">
        <v>243</v>
      </c>
      <c r="H15" s="21" t="s">
        <v>290</v>
      </c>
      <c r="I15" s="22" t="s">
        <v>290</v>
      </c>
      <c r="J15" s="21"/>
      <c r="K15" s="18" t="str">
        <f>"207,5"</f>
        <v>207,5</v>
      </c>
      <c r="L15" s="22" t="str">
        <f>"129,5630"</f>
        <v>129,5630</v>
      </c>
      <c r="M15" s="18" t="s">
        <v>27</v>
      </c>
    </row>
    <row r="17" spans="1:13" ht="15" x14ac:dyDescent="0.2">
      <c r="A17" s="30" t="s">
        <v>76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3" x14ac:dyDescent="0.2">
      <c r="A18" s="6" t="s">
        <v>292</v>
      </c>
      <c r="B18" s="6" t="s">
        <v>293</v>
      </c>
      <c r="C18" s="6" t="s">
        <v>294</v>
      </c>
      <c r="D18" s="6" t="str">
        <f>"0,6032"</f>
        <v>0,6032</v>
      </c>
      <c r="E18" s="6" t="s">
        <v>18</v>
      </c>
      <c r="F18" s="6" t="s">
        <v>197</v>
      </c>
      <c r="G18" s="7" t="s">
        <v>33</v>
      </c>
      <c r="H18" s="7" t="s">
        <v>72</v>
      </c>
      <c r="I18" s="7" t="s">
        <v>75</v>
      </c>
      <c r="J18" s="8"/>
      <c r="K18" s="6" t="str">
        <f>"255,0"</f>
        <v>255,0</v>
      </c>
      <c r="L18" s="7" t="str">
        <f>"153,8160"</f>
        <v>153,8160</v>
      </c>
      <c r="M18" s="6" t="s">
        <v>27</v>
      </c>
    </row>
    <row r="19" spans="1:13" x14ac:dyDescent="0.2">
      <c r="A19" s="9" t="s">
        <v>296</v>
      </c>
      <c r="B19" s="9" t="s">
        <v>297</v>
      </c>
      <c r="C19" s="9" t="s">
        <v>298</v>
      </c>
      <c r="D19" s="9" t="str">
        <f>"0,6002"</f>
        <v>0,6002</v>
      </c>
      <c r="E19" s="9" t="s">
        <v>18</v>
      </c>
      <c r="F19" s="9" t="s">
        <v>90</v>
      </c>
      <c r="G19" s="10" t="s">
        <v>67</v>
      </c>
      <c r="H19" s="10" t="s">
        <v>65</v>
      </c>
      <c r="I19" s="10" t="s">
        <v>33</v>
      </c>
      <c r="J19" s="11"/>
      <c r="K19" s="9" t="str">
        <f>"220,0"</f>
        <v>220,0</v>
      </c>
      <c r="L19" s="10" t="str">
        <f>"132,0440"</f>
        <v>132,0440</v>
      </c>
      <c r="M19" s="9" t="s">
        <v>27</v>
      </c>
    </row>
    <row r="21" spans="1:13" ht="15" x14ac:dyDescent="0.2">
      <c r="A21" s="30" t="s">
        <v>132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3" x14ac:dyDescent="0.2">
      <c r="A22" s="18" t="s">
        <v>134</v>
      </c>
      <c r="B22" s="18" t="s">
        <v>135</v>
      </c>
      <c r="C22" s="18" t="s">
        <v>136</v>
      </c>
      <c r="D22" s="18" t="str">
        <f>"0,5698"</f>
        <v>0,5698</v>
      </c>
      <c r="E22" s="18" t="s">
        <v>18</v>
      </c>
      <c r="F22" s="18" t="s">
        <v>90</v>
      </c>
      <c r="G22" s="22" t="s">
        <v>138</v>
      </c>
      <c r="H22" s="21"/>
      <c r="I22" s="21"/>
      <c r="J22" s="21"/>
      <c r="K22" s="18" t="str">
        <f>"252,5"</f>
        <v>252,5</v>
      </c>
      <c r="L22" s="22" t="str">
        <f>"148,3346"</f>
        <v>148,3346</v>
      </c>
      <c r="M22" s="18" t="s">
        <v>27</v>
      </c>
    </row>
    <row r="24" spans="1:13" ht="15" x14ac:dyDescent="0.2">
      <c r="E24" s="12" t="s">
        <v>41</v>
      </c>
    </row>
    <row r="25" spans="1:13" ht="15" x14ac:dyDescent="0.2">
      <c r="E25" s="12" t="s">
        <v>42</v>
      </c>
    </row>
    <row r="26" spans="1:13" ht="15" x14ac:dyDescent="0.2">
      <c r="E26" s="12" t="s">
        <v>43</v>
      </c>
    </row>
    <row r="27" spans="1:13" ht="15" x14ac:dyDescent="0.2">
      <c r="E27" s="12" t="s">
        <v>44</v>
      </c>
    </row>
    <row r="28" spans="1:13" ht="15" x14ac:dyDescent="0.2">
      <c r="E28" s="12" t="s">
        <v>44</v>
      </c>
    </row>
    <row r="29" spans="1:13" ht="15" x14ac:dyDescent="0.2">
      <c r="E29" s="12" t="s">
        <v>45</v>
      </c>
    </row>
    <row r="30" spans="1:13" ht="15" x14ac:dyDescent="0.2">
      <c r="E30" s="12"/>
    </row>
    <row r="32" spans="1:13" ht="18" x14ac:dyDescent="0.25">
      <c r="A32" s="13" t="s">
        <v>46</v>
      </c>
      <c r="B32" s="13"/>
    </row>
    <row r="33" spans="1:5" ht="15" x14ac:dyDescent="0.2">
      <c r="A33" s="14" t="s">
        <v>139</v>
      </c>
      <c r="B33" s="14"/>
    </row>
    <row r="34" spans="1:5" ht="14.25" x14ac:dyDescent="0.2">
      <c r="A34" s="16"/>
      <c r="B34" s="17" t="s">
        <v>57</v>
      </c>
    </row>
    <row r="35" spans="1:5" ht="15" x14ac:dyDescent="0.2">
      <c r="A35" s="19" t="s">
        <v>49</v>
      </c>
      <c r="B35" s="19" t="s">
        <v>50</v>
      </c>
      <c r="C35" s="19" t="s">
        <v>51</v>
      </c>
      <c r="D35" s="19" t="s">
        <v>52</v>
      </c>
      <c r="E35" s="19" t="s">
        <v>53</v>
      </c>
    </row>
    <row r="36" spans="1:5" x14ac:dyDescent="0.2">
      <c r="A36" s="15" t="s">
        <v>104</v>
      </c>
      <c r="B36" s="4" t="s">
        <v>57</v>
      </c>
      <c r="C36" s="4" t="s">
        <v>140</v>
      </c>
      <c r="D36" s="4" t="s">
        <v>113</v>
      </c>
      <c r="E36" s="20" t="s">
        <v>299</v>
      </c>
    </row>
    <row r="39" spans="1:5" ht="15" x14ac:dyDescent="0.2">
      <c r="A39" s="14" t="s">
        <v>47</v>
      </c>
      <c r="B39" s="14"/>
    </row>
    <row r="40" spans="1:5" ht="14.25" x14ac:dyDescent="0.2">
      <c r="A40" s="16"/>
      <c r="B40" s="17" t="s">
        <v>57</v>
      </c>
    </row>
    <row r="41" spans="1:5" ht="15" x14ac:dyDescent="0.2">
      <c r="A41" s="19" t="s">
        <v>49</v>
      </c>
      <c r="B41" s="19" t="s">
        <v>50</v>
      </c>
      <c r="C41" s="19" t="s">
        <v>51</v>
      </c>
      <c r="D41" s="19" t="s">
        <v>52</v>
      </c>
      <c r="E41" s="19" t="s">
        <v>53</v>
      </c>
    </row>
    <row r="42" spans="1:5" x14ac:dyDescent="0.2">
      <c r="A42" s="15" t="s">
        <v>291</v>
      </c>
      <c r="B42" s="4" t="s">
        <v>57</v>
      </c>
      <c r="C42" s="4" t="s">
        <v>83</v>
      </c>
      <c r="D42" s="4" t="s">
        <v>75</v>
      </c>
      <c r="E42" s="20" t="s">
        <v>300</v>
      </c>
    </row>
    <row r="43" spans="1:5" x14ac:dyDescent="0.2">
      <c r="A43" s="15" t="s">
        <v>295</v>
      </c>
      <c r="B43" s="4" t="s">
        <v>57</v>
      </c>
      <c r="C43" s="4" t="s">
        <v>83</v>
      </c>
      <c r="D43" s="4" t="s">
        <v>33</v>
      </c>
      <c r="E43" s="20" t="s">
        <v>301</v>
      </c>
    </row>
    <row r="44" spans="1:5" x14ac:dyDescent="0.2">
      <c r="A44" s="15" t="s">
        <v>287</v>
      </c>
      <c r="B44" s="4" t="s">
        <v>57</v>
      </c>
      <c r="C44" s="4" t="s">
        <v>23</v>
      </c>
      <c r="D44" s="4" t="s">
        <v>164</v>
      </c>
      <c r="E44" s="20" t="s">
        <v>302</v>
      </c>
    </row>
    <row r="45" spans="1:5" x14ac:dyDescent="0.2">
      <c r="A45" s="15" t="s">
        <v>121</v>
      </c>
      <c r="B45" s="4" t="s">
        <v>57</v>
      </c>
      <c r="C45" s="4" t="s">
        <v>25</v>
      </c>
      <c r="D45" s="4" t="s">
        <v>290</v>
      </c>
      <c r="E45" s="20" t="s">
        <v>303</v>
      </c>
    </row>
    <row r="47" spans="1:5" ht="14.25" x14ac:dyDescent="0.2">
      <c r="A47" s="16"/>
      <c r="B47" s="17" t="s">
        <v>101</v>
      </c>
    </row>
    <row r="48" spans="1:5" ht="15" x14ac:dyDescent="0.2">
      <c r="A48" s="19" t="s">
        <v>49</v>
      </c>
      <c r="B48" s="19" t="s">
        <v>50</v>
      </c>
      <c r="C48" s="19" t="s">
        <v>51</v>
      </c>
      <c r="D48" s="19" t="s">
        <v>52</v>
      </c>
      <c r="E48" s="19" t="s">
        <v>53</v>
      </c>
    </row>
    <row r="49" spans="1:5" x14ac:dyDescent="0.2">
      <c r="A49" s="15" t="s">
        <v>133</v>
      </c>
      <c r="B49" s="4" t="s">
        <v>102</v>
      </c>
      <c r="C49" s="4" t="s">
        <v>151</v>
      </c>
      <c r="D49" s="4" t="s">
        <v>138</v>
      </c>
      <c r="E49" s="20" t="s">
        <v>304</v>
      </c>
    </row>
    <row r="50" spans="1:5" x14ac:dyDescent="0.2">
      <c r="A50" s="15" t="s">
        <v>282</v>
      </c>
      <c r="B50" s="4" t="s">
        <v>102</v>
      </c>
      <c r="C50" s="4" t="s">
        <v>111</v>
      </c>
      <c r="D50" s="4" t="s">
        <v>173</v>
      </c>
      <c r="E50" s="20" t="s">
        <v>305</v>
      </c>
    </row>
  </sheetData>
  <mergeCells count="17">
    <mergeCell ref="A14:L14"/>
    <mergeCell ref="A17:L17"/>
    <mergeCell ref="A21:L21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5"/>
  <sheetViews>
    <sheetView zoomScaleNormal="100" workbookViewId="0">
      <selection activeCell="F11" sqref="F11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7.5703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1" t="s">
        <v>314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10</v>
      </c>
      <c r="H3" s="41"/>
      <c r="I3" s="41"/>
      <c r="J3" s="41"/>
      <c r="K3" s="41" t="s">
        <v>11</v>
      </c>
      <c r="L3" s="41"/>
      <c r="M3" s="41"/>
      <c r="N3" s="41"/>
      <c r="O3" s="41" t="s">
        <v>12</v>
      </c>
      <c r="P3" s="41"/>
      <c r="Q3" s="41"/>
      <c r="R3" s="41"/>
      <c r="S3" s="41" t="s">
        <v>1</v>
      </c>
      <c r="T3" s="41" t="s">
        <v>3</v>
      </c>
      <c r="U3" s="27" t="s">
        <v>2</v>
      </c>
    </row>
    <row r="4" spans="1:21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28"/>
    </row>
    <row r="5" spans="1:21" ht="15" x14ac:dyDescent="0.2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x14ac:dyDescent="0.2">
      <c r="A6" s="6" t="s">
        <v>15</v>
      </c>
      <c r="B6" s="6" t="s">
        <v>16</v>
      </c>
      <c r="C6" s="6" t="s">
        <v>17</v>
      </c>
      <c r="D6" s="6" t="str">
        <f>"0,6562"</f>
        <v>0,6562</v>
      </c>
      <c r="E6" s="6" t="s">
        <v>18</v>
      </c>
      <c r="F6" s="6" t="s">
        <v>19</v>
      </c>
      <c r="G6" s="7" t="s">
        <v>20</v>
      </c>
      <c r="H6" s="8" t="s">
        <v>21</v>
      </c>
      <c r="I6" s="8" t="s">
        <v>22</v>
      </c>
      <c r="J6" s="8"/>
      <c r="K6" s="7" t="s">
        <v>23</v>
      </c>
      <c r="L6" s="7" t="s">
        <v>24</v>
      </c>
      <c r="M6" s="8" t="s">
        <v>25</v>
      </c>
      <c r="N6" s="8"/>
      <c r="O6" s="7" t="s">
        <v>20</v>
      </c>
      <c r="P6" s="7" t="s">
        <v>22</v>
      </c>
      <c r="Q6" s="8" t="s">
        <v>26</v>
      </c>
      <c r="R6" s="8"/>
      <c r="S6" s="6" t="str">
        <f>"415,0"</f>
        <v>415,0</v>
      </c>
      <c r="T6" s="7" t="str">
        <f>"272,3230"</f>
        <v>272,3230</v>
      </c>
      <c r="U6" s="6" t="s">
        <v>27</v>
      </c>
    </row>
    <row r="7" spans="1:21" x14ac:dyDescent="0.2">
      <c r="A7" s="9" t="s">
        <v>29</v>
      </c>
      <c r="B7" s="9" t="s">
        <v>30</v>
      </c>
      <c r="C7" s="9" t="s">
        <v>31</v>
      </c>
      <c r="D7" s="9" t="str">
        <f>"0,6384"</f>
        <v>0,6384</v>
      </c>
      <c r="E7" s="9" t="s">
        <v>18</v>
      </c>
      <c r="F7" s="9" t="s">
        <v>32</v>
      </c>
      <c r="G7" s="10" t="s">
        <v>33</v>
      </c>
      <c r="H7" s="10" t="s">
        <v>34</v>
      </c>
      <c r="I7" s="10" t="s">
        <v>35</v>
      </c>
      <c r="J7" s="11"/>
      <c r="K7" s="10" t="s">
        <v>36</v>
      </c>
      <c r="L7" s="10" t="s">
        <v>37</v>
      </c>
      <c r="M7" s="11" t="s">
        <v>38</v>
      </c>
      <c r="N7" s="11"/>
      <c r="O7" s="10" t="s">
        <v>39</v>
      </c>
      <c r="P7" s="11" t="s">
        <v>40</v>
      </c>
      <c r="Q7" s="11" t="s">
        <v>40</v>
      </c>
      <c r="R7" s="11"/>
      <c r="S7" s="9" t="str">
        <f>"650,0"</f>
        <v>650,0</v>
      </c>
      <c r="T7" s="10" t="str">
        <f>"414,9600"</f>
        <v>414,9600</v>
      </c>
      <c r="U7" s="9" t="s">
        <v>27</v>
      </c>
    </row>
    <row r="9" spans="1:21" ht="15" x14ac:dyDescent="0.2">
      <c r="E9" s="12" t="s">
        <v>41</v>
      </c>
    </row>
    <row r="10" spans="1:21" ht="15" x14ac:dyDescent="0.2">
      <c r="E10" s="12" t="s">
        <v>42</v>
      </c>
    </row>
    <row r="11" spans="1:21" ht="15" x14ac:dyDescent="0.2">
      <c r="E11" s="12" t="s">
        <v>43</v>
      </c>
    </row>
    <row r="12" spans="1:21" ht="15" x14ac:dyDescent="0.2">
      <c r="E12" s="12" t="s">
        <v>44</v>
      </c>
    </row>
    <row r="13" spans="1:21" ht="15" x14ac:dyDescent="0.2">
      <c r="E13" s="12" t="s">
        <v>44</v>
      </c>
    </row>
    <row r="14" spans="1:21" ht="15" x14ac:dyDescent="0.2">
      <c r="E14" s="12" t="s">
        <v>45</v>
      </c>
    </row>
    <row r="15" spans="1:21" ht="15" x14ac:dyDescent="0.2">
      <c r="E15" s="12"/>
    </row>
    <row r="17" spans="1:5" ht="18" x14ac:dyDescent="0.25">
      <c r="A17" s="13" t="s">
        <v>46</v>
      </c>
      <c r="B17" s="13"/>
    </row>
    <row r="18" spans="1:5" ht="15" x14ac:dyDescent="0.2">
      <c r="A18" s="14" t="s">
        <v>47</v>
      </c>
      <c r="B18" s="14"/>
    </row>
    <row r="19" spans="1:5" ht="14.25" x14ac:dyDescent="0.2">
      <c r="A19" s="16"/>
      <c r="B19" s="17" t="s">
        <v>48</v>
      </c>
    </row>
    <row r="20" spans="1:5" ht="15" x14ac:dyDescent="0.2">
      <c r="A20" s="19" t="s">
        <v>49</v>
      </c>
      <c r="B20" s="19" t="s">
        <v>50</v>
      </c>
      <c r="C20" s="19" t="s">
        <v>51</v>
      </c>
      <c r="D20" s="19" t="s">
        <v>52</v>
      </c>
      <c r="E20" s="19" t="s">
        <v>53</v>
      </c>
    </row>
    <row r="21" spans="1:5" x14ac:dyDescent="0.2">
      <c r="A21" s="15" t="s">
        <v>14</v>
      </c>
      <c r="B21" s="4" t="s">
        <v>54</v>
      </c>
      <c r="C21" s="4" t="s">
        <v>23</v>
      </c>
      <c r="D21" s="4" t="s">
        <v>55</v>
      </c>
      <c r="E21" s="20" t="s">
        <v>56</v>
      </c>
    </row>
    <row r="23" spans="1:5" ht="14.25" x14ac:dyDescent="0.2">
      <c r="A23" s="16"/>
      <c r="B23" s="17" t="s">
        <v>57</v>
      </c>
    </row>
    <row r="24" spans="1:5" ht="15" x14ac:dyDescent="0.2">
      <c r="A24" s="19" t="s">
        <v>49</v>
      </c>
      <c r="B24" s="19" t="s">
        <v>50</v>
      </c>
      <c r="C24" s="19" t="s">
        <v>51</v>
      </c>
      <c r="D24" s="19" t="s">
        <v>52</v>
      </c>
      <c r="E24" s="19" t="s">
        <v>53</v>
      </c>
    </row>
    <row r="25" spans="1:5" x14ac:dyDescent="0.2">
      <c r="A25" s="15" t="s">
        <v>28</v>
      </c>
      <c r="B25" s="4" t="s">
        <v>57</v>
      </c>
      <c r="C25" s="4" t="s">
        <v>23</v>
      </c>
      <c r="D25" s="4" t="s">
        <v>58</v>
      </c>
      <c r="E25" s="20" t="s">
        <v>59</v>
      </c>
    </row>
  </sheetData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7109375" style="4" bestFit="1" customWidth="1"/>
    <col min="7" max="7" width="4.5703125" style="3" bestFit="1" customWidth="1"/>
    <col min="8" max="8" width="4.5703125" style="46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1" t="s">
        <v>315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316</v>
      </c>
      <c r="E3" s="41" t="s">
        <v>4</v>
      </c>
      <c r="F3" s="41" t="s">
        <v>8</v>
      </c>
      <c r="G3" s="41" t="s">
        <v>317</v>
      </c>
      <c r="H3" s="41"/>
      <c r="I3" s="41" t="s">
        <v>318</v>
      </c>
      <c r="J3" s="41" t="s">
        <v>3</v>
      </c>
      <c r="K3" s="27" t="s">
        <v>2</v>
      </c>
    </row>
    <row r="4" spans="1:11" s="1" customFormat="1" ht="21" customHeight="1" thickBot="1" x14ac:dyDescent="0.25">
      <c r="A4" s="38"/>
      <c r="B4" s="40"/>
      <c r="C4" s="40"/>
      <c r="D4" s="40"/>
      <c r="E4" s="40"/>
      <c r="F4" s="40"/>
      <c r="G4" s="26" t="s">
        <v>319</v>
      </c>
      <c r="H4" s="42" t="s">
        <v>320</v>
      </c>
      <c r="I4" s="40"/>
      <c r="J4" s="40"/>
      <c r="K4" s="28"/>
    </row>
    <row r="5" spans="1:11" ht="15" x14ac:dyDescent="0.2">
      <c r="A5" s="29" t="s">
        <v>179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x14ac:dyDescent="0.2">
      <c r="A6" s="18" t="s">
        <v>321</v>
      </c>
      <c r="B6" s="18" t="s">
        <v>322</v>
      </c>
      <c r="C6" s="18" t="s">
        <v>323</v>
      </c>
      <c r="D6" s="18" t="str">
        <f>"0,9889"</f>
        <v>0,9889</v>
      </c>
      <c r="E6" s="18" t="s">
        <v>18</v>
      </c>
      <c r="F6" s="18" t="s">
        <v>90</v>
      </c>
      <c r="G6" s="22" t="s">
        <v>324</v>
      </c>
      <c r="H6" s="43" t="s">
        <v>325</v>
      </c>
      <c r="I6" s="18" t="str">
        <f>"1230,0"</f>
        <v>1230,0</v>
      </c>
      <c r="J6" s="22" t="str">
        <f>"1254,0538"</f>
        <v>1254,0538</v>
      </c>
      <c r="K6" s="18" t="s">
        <v>27</v>
      </c>
    </row>
    <row r="8" spans="1:11" ht="15" x14ac:dyDescent="0.2">
      <c r="A8" s="30" t="s">
        <v>326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x14ac:dyDescent="0.2">
      <c r="A9" s="18" t="s">
        <v>327</v>
      </c>
      <c r="B9" s="18" t="s">
        <v>328</v>
      </c>
      <c r="C9" s="18" t="s">
        <v>329</v>
      </c>
      <c r="D9" s="18" t="str">
        <f>"0,9330"</f>
        <v>0,9330</v>
      </c>
      <c r="E9" s="18" t="s">
        <v>18</v>
      </c>
      <c r="F9" s="18" t="s">
        <v>19</v>
      </c>
      <c r="G9" s="22" t="s">
        <v>330</v>
      </c>
      <c r="H9" s="43" t="s">
        <v>324</v>
      </c>
      <c r="I9" s="18" t="str">
        <f>"825,0"</f>
        <v>825,0</v>
      </c>
      <c r="J9" s="22" t="str">
        <f>"769,7662"</f>
        <v>769,7662</v>
      </c>
      <c r="K9" s="18" t="s">
        <v>27</v>
      </c>
    </row>
    <row r="11" spans="1:11" ht="15" x14ac:dyDescent="0.2">
      <c r="A11" s="30" t="s">
        <v>188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1" x14ac:dyDescent="0.2">
      <c r="A12" s="6" t="s">
        <v>181</v>
      </c>
      <c r="B12" s="6" t="s">
        <v>331</v>
      </c>
      <c r="C12" s="6" t="s">
        <v>332</v>
      </c>
      <c r="D12" s="6" t="str">
        <f>"0,7484"</f>
        <v>0,7484</v>
      </c>
      <c r="E12" s="6" t="s">
        <v>18</v>
      </c>
      <c r="F12" s="6" t="s">
        <v>19</v>
      </c>
      <c r="G12" s="7" t="s">
        <v>333</v>
      </c>
      <c r="H12" s="44" t="s">
        <v>334</v>
      </c>
      <c r="I12" s="6" t="str">
        <f>"1365,0"</f>
        <v>1365,0</v>
      </c>
      <c r="J12" s="7" t="str">
        <f>"1021,5660"</f>
        <v>1021,5660</v>
      </c>
      <c r="K12" s="6" t="s">
        <v>27</v>
      </c>
    </row>
    <row r="13" spans="1:11" x14ac:dyDescent="0.2">
      <c r="A13" s="9" t="s">
        <v>335</v>
      </c>
      <c r="B13" s="9" t="s">
        <v>336</v>
      </c>
      <c r="C13" s="9" t="s">
        <v>337</v>
      </c>
      <c r="D13" s="9" t="str">
        <f>"0,7551"</f>
        <v>0,7551</v>
      </c>
      <c r="E13" s="9" t="s">
        <v>18</v>
      </c>
      <c r="F13" s="9" t="s">
        <v>19</v>
      </c>
      <c r="G13" s="10" t="s">
        <v>333</v>
      </c>
      <c r="H13" s="45" t="s">
        <v>338</v>
      </c>
      <c r="I13" s="9" t="str">
        <f>"945,0"</f>
        <v>945,0</v>
      </c>
      <c r="J13" s="10" t="str">
        <f>"713,5695"</f>
        <v>713,5695</v>
      </c>
      <c r="K13" s="9" t="s">
        <v>27</v>
      </c>
    </row>
    <row r="15" spans="1:11" ht="15" x14ac:dyDescent="0.2">
      <c r="A15" s="30" t="s">
        <v>60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1" x14ac:dyDescent="0.2">
      <c r="A16" s="18" t="s">
        <v>339</v>
      </c>
      <c r="B16" s="18" t="s">
        <v>340</v>
      </c>
      <c r="C16" s="18" t="s">
        <v>341</v>
      </c>
      <c r="D16" s="18" t="str">
        <f>"0,6724"</f>
        <v>0,6724</v>
      </c>
      <c r="E16" s="18" t="s">
        <v>18</v>
      </c>
      <c r="F16" s="18" t="s">
        <v>19</v>
      </c>
      <c r="G16" s="22" t="s">
        <v>342</v>
      </c>
      <c r="H16" s="43" t="s">
        <v>343</v>
      </c>
      <c r="I16" s="18" t="str">
        <f>"1280,0"</f>
        <v>1280,0</v>
      </c>
      <c r="J16" s="22" t="str">
        <f>"860,6720"</f>
        <v>860,6720</v>
      </c>
      <c r="K16" s="18" t="s">
        <v>27</v>
      </c>
    </row>
    <row r="18" spans="1:5" ht="15" x14ac:dyDescent="0.2">
      <c r="E18" s="12" t="s">
        <v>41</v>
      </c>
    </row>
    <row r="19" spans="1:5" ht="15" x14ac:dyDescent="0.2">
      <c r="E19" s="12" t="s">
        <v>42</v>
      </c>
    </row>
    <row r="20" spans="1:5" ht="15" x14ac:dyDescent="0.2">
      <c r="E20" s="12" t="s">
        <v>43</v>
      </c>
    </row>
    <row r="21" spans="1:5" ht="15" x14ac:dyDescent="0.2">
      <c r="E21" s="12" t="s">
        <v>44</v>
      </c>
    </row>
    <row r="22" spans="1:5" ht="15" x14ac:dyDescent="0.2">
      <c r="E22" s="12" t="s">
        <v>44</v>
      </c>
    </row>
    <row r="23" spans="1:5" ht="15" x14ac:dyDescent="0.2">
      <c r="E23" s="12" t="s">
        <v>45</v>
      </c>
    </row>
    <row r="24" spans="1:5" ht="15" x14ac:dyDescent="0.2">
      <c r="E24" s="12"/>
    </row>
    <row r="26" spans="1:5" ht="18" x14ac:dyDescent="0.25">
      <c r="A26" s="13" t="s">
        <v>46</v>
      </c>
      <c r="B26" s="13"/>
    </row>
    <row r="27" spans="1:5" ht="15" x14ac:dyDescent="0.2">
      <c r="A27" s="14" t="s">
        <v>139</v>
      </c>
      <c r="B27" s="14"/>
    </row>
    <row r="28" spans="1:5" ht="14.25" x14ac:dyDescent="0.2">
      <c r="A28" s="16"/>
      <c r="B28" s="17" t="s">
        <v>344</v>
      </c>
    </row>
    <row r="29" spans="1:5" ht="15" x14ac:dyDescent="0.2">
      <c r="A29" s="19" t="s">
        <v>49</v>
      </c>
      <c r="B29" s="19" t="s">
        <v>50</v>
      </c>
      <c r="C29" s="19" t="s">
        <v>51</v>
      </c>
      <c r="D29" s="19" t="s">
        <v>52</v>
      </c>
      <c r="E29" s="19" t="s">
        <v>345</v>
      </c>
    </row>
    <row r="30" spans="1:5" x14ac:dyDescent="0.2">
      <c r="A30" s="15" t="s">
        <v>346</v>
      </c>
      <c r="B30" s="4" t="s">
        <v>347</v>
      </c>
      <c r="C30" s="4" t="s">
        <v>229</v>
      </c>
      <c r="D30" s="4" t="s">
        <v>348</v>
      </c>
      <c r="E30" s="20" t="s">
        <v>349</v>
      </c>
    </row>
    <row r="33" spans="1:5" ht="15" x14ac:dyDescent="0.2">
      <c r="A33" s="14" t="s">
        <v>47</v>
      </c>
      <c r="B33" s="14"/>
    </row>
    <row r="34" spans="1:5" ht="14.25" x14ac:dyDescent="0.2">
      <c r="A34" s="16"/>
      <c r="B34" s="17" t="s">
        <v>48</v>
      </c>
    </row>
    <row r="35" spans="1:5" ht="15" x14ac:dyDescent="0.2">
      <c r="A35" s="19" t="s">
        <v>49</v>
      </c>
      <c r="B35" s="19" t="s">
        <v>50</v>
      </c>
      <c r="C35" s="19" t="s">
        <v>51</v>
      </c>
      <c r="D35" s="19" t="s">
        <v>52</v>
      </c>
      <c r="E35" s="19" t="s">
        <v>345</v>
      </c>
    </row>
    <row r="36" spans="1:5" x14ac:dyDescent="0.2">
      <c r="A36" s="15" t="s">
        <v>180</v>
      </c>
      <c r="B36" s="4" t="s">
        <v>350</v>
      </c>
      <c r="C36" s="4" t="s">
        <v>184</v>
      </c>
      <c r="D36" s="4" t="s">
        <v>351</v>
      </c>
      <c r="E36" s="20" t="s">
        <v>352</v>
      </c>
    </row>
    <row r="37" spans="1:5" x14ac:dyDescent="0.2">
      <c r="A37" s="15" t="s">
        <v>353</v>
      </c>
      <c r="B37" s="4" t="s">
        <v>350</v>
      </c>
      <c r="C37" s="4" t="s">
        <v>140</v>
      </c>
      <c r="D37" s="4" t="s">
        <v>354</v>
      </c>
      <c r="E37" s="20" t="s">
        <v>355</v>
      </c>
    </row>
    <row r="38" spans="1:5" x14ac:dyDescent="0.2">
      <c r="A38" s="15" t="s">
        <v>356</v>
      </c>
      <c r="B38" s="4" t="s">
        <v>350</v>
      </c>
      <c r="C38" s="4" t="s">
        <v>357</v>
      </c>
      <c r="D38" s="4" t="s">
        <v>358</v>
      </c>
      <c r="E38" s="20" t="s">
        <v>359</v>
      </c>
    </row>
    <row r="39" spans="1:5" x14ac:dyDescent="0.2">
      <c r="A39" s="15" t="s">
        <v>360</v>
      </c>
      <c r="B39" s="4" t="s">
        <v>350</v>
      </c>
      <c r="C39" s="4" t="s">
        <v>184</v>
      </c>
      <c r="D39" s="4" t="s">
        <v>361</v>
      </c>
      <c r="E39" s="20" t="s">
        <v>362</v>
      </c>
    </row>
  </sheetData>
  <mergeCells count="15">
    <mergeCell ref="K3:K4"/>
    <mergeCell ref="A5:J5"/>
    <mergeCell ref="A8:J8"/>
    <mergeCell ref="A11:J11"/>
    <mergeCell ref="A15:J1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4.140625" style="4" bestFit="1" customWidth="1"/>
    <col min="7" max="7" width="4.5703125" style="3" bestFit="1" customWidth="1"/>
    <col min="8" max="8" width="4.5703125" style="46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1" t="s">
        <v>363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316</v>
      </c>
      <c r="E3" s="41" t="s">
        <v>4</v>
      </c>
      <c r="F3" s="41" t="s">
        <v>8</v>
      </c>
      <c r="G3" s="41" t="s">
        <v>317</v>
      </c>
      <c r="H3" s="41"/>
      <c r="I3" s="41" t="s">
        <v>318</v>
      </c>
      <c r="J3" s="41" t="s">
        <v>3</v>
      </c>
      <c r="K3" s="27" t="s">
        <v>2</v>
      </c>
    </row>
    <row r="4" spans="1:11" s="1" customFormat="1" ht="21" customHeight="1" thickBot="1" x14ac:dyDescent="0.25">
      <c r="A4" s="38"/>
      <c r="B4" s="40"/>
      <c r="C4" s="40"/>
      <c r="D4" s="40"/>
      <c r="E4" s="40"/>
      <c r="F4" s="40"/>
      <c r="G4" s="26" t="s">
        <v>319</v>
      </c>
      <c r="H4" s="42" t="s">
        <v>320</v>
      </c>
      <c r="I4" s="40"/>
      <c r="J4" s="40"/>
      <c r="K4" s="28"/>
    </row>
    <row r="5" spans="1:11" ht="15" x14ac:dyDescent="0.2">
      <c r="A5" s="29" t="s">
        <v>188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x14ac:dyDescent="0.2">
      <c r="A6" s="18" t="s">
        <v>364</v>
      </c>
      <c r="B6" s="18" t="s">
        <v>365</v>
      </c>
      <c r="C6" s="18" t="s">
        <v>366</v>
      </c>
      <c r="D6" s="18" t="str">
        <f>"0,7566"</f>
        <v>0,7566</v>
      </c>
      <c r="E6" s="18" t="s">
        <v>18</v>
      </c>
      <c r="F6" s="18" t="s">
        <v>19</v>
      </c>
      <c r="G6" s="22" t="s">
        <v>184</v>
      </c>
      <c r="H6" s="43" t="s">
        <v>367</v>
      </c>
      <c r="I6" s="18" t="str">
        <f>"1215,0"</f>
        <v>1215,0</v>
      </c>
      <c r="J6" s="22" t="str">
        <f>"919,2325"</f>
        <v>919,2325</v>
      </c>
      <c r="K6" s="18" t="s">
        <v>27</v>
      </c>
    </row>
    <row r="8" spans="1:11" ht="15" x14ac:dyDescent="0.2">
      <c r="A8" s="30" t="s">
        <v>114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x14ac:dyDescent="0.2">
      <c r="A9" s="18" t="s">
        <v>368</v>
      </c>
      <c r="B9" s="18" t="s">
        <v>369</v>
      </c>
      <c r="C9" s="18" t="s">
        <v>370</v>
      </c>
      <c r="D9" s="18" t="str">
        <f>"0,7145"</f>
        <v>0,7145</v>
      </c>
      <c r="E9" s="18" t="s">
        <v>18</v>
      </c>
      <c r="F9" s="18" t="s">
        <v>19</v>
      </c>
      <c r="G9" s="22" t="s">
        <v>110</v>
      </c>
      <c r="H9" s="43" t="s">
        <v>371</v>
      </c>
      <c r="I9" s="18" t="str">
        <f>"2465,0"</f>
        <v>2465,0</v>
      </c>
      <c r="J9" s="22" t="str">
        <f>"1761,1193"</f>
        <v>1761,1193</v>
      </c>
      <c r="K9" s="18" t="s">
        <v>27</v>
      </c>
    </row>
    <row r="11" spans="1:11" ht="15" x14ac:dyDescent="0.2">
      <c r="A11" s="30" t="s">
        <v>13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1" x14ac:dyDescent="0.2">
      <c r="A12" s="18" t="s">
        <v>208</v>
      </c>
      <c r="B12" s="18" t="s">
        <v>209</v>
      </c>
      <c r="C12" s="18" t="s">
        <v>210</v>
      </c>
      <c r="D12" s="18" t="str">
        <f>"0,6181"</f>
        <v>0,6181</v>
      </c>
      <c r="E12" s="18" t="s">
        <v>18</v>
      </c>
      <c r="F12" s="18" t="s">
        <v>19</v>
      </c>
      <c r="G12" s="22" t="s">
        <v>23</v>
      </c>
      <c r="H12" s="43" t="s">
        <v>372</v>
      </c>
      <c r="I12" s="18" t="str">
        <f>"2070,0"</f>
        <v>2070,0</v>
      </c>
      <c r="J12" s="22" t="str">
        <f>"1279,4670"</f>
        <v>1279,4670</v>
      </c>
      <c r="K12" s="18" t="s">
        <v>27</v>
      </c>
    </row>
    <row r="14" spans="1:11" ht="15" x14ac:dyDescent="0.2">
      <c r="E14" s="12" t="s">
        <v>41</v>
      </c>
    </row>
    <row r="15" spans="1:11" ht="15" x14ac:dyDescent="0.2">
      <c r="E15" s="12" t="s">
        <v>42</v>
      </c>
    </row>
    <row r="16" spans="1:11" ht="15" x14ac:dyDescent="0.2">
      <c r="E16" s="12" t="s">
        <v>43</v>
      </c>
    </row>
    <row r="17" spans="1:5" ht="15" x14ac:dyDescent="0.2">
      <c r="E17" s="12" t="s">
        <v>44</v>
      </c>
    </row>
    <row r="18" spans="1:5" ht="15" x14ac:dyDescent="0.2">
      <c r="E18" s="12" t="s">
        <v>44</v>
      </c>
    </row>
    <row r="19" spans="1:5" ht="15" x14ac:dyDescent="0.2">
      <c r="E19" s="12" t="s">
        <v>45</v>
      </c>
    </row>
    <row r="20" spans="1:5" ht="15" x14ac:dyDescent="0.2">
      <c r="E20" s="12"/>
    </row>
    <row r="22" spans="1:5" ht="18" x14ac:dyDescent="0.25">
      <c r="A22" s="13" t="s">
        <v>46</v>
      </c>
      <c r="B22" s="13"/>
    </row>
    <row r="23" spans="1:5" ht="15" x14ac:dyDescent="0.2">
      <c r="A23" s="14" t="s">
        <v>47</v>
      </c>
      <c r="B23" s="14"/>
    </row>
    <row r="24" spans="1:5" ht="14.25" x14ac:dyDescent="0.2">
      <c r="A24" s="16"/>
      <c r="B24" s="17" t="s">
        <v>57</v>
      </c>
    </row>
    <row r="25" spans="1:5" ht="15" x14ac:dyDescent="0.2">
      <c r="A25" s="19" t="s">
        <v>49</v>
      </c>
      <c r="B25" s="19" t="s">
        <v>50</v>
      </c>
      <c r="C25" s="19" t="s">
        <v>51</v>
      </c>
      <c r="D25" s="19" t="s">
        <v>52</v>
      </c>
      <c r="E25" s="19" t="s">
        <v>345</v>
      </c>
    </row>
    <row r="26" spans="1:5" x14ac:dyDescent="0.2">
      <c r="A26" s="15" t="s">
        <v>373</v>
      </c>
      <c r="B26" s="4" t="s">
        <v>57</v>
      </c>
      <c r="C26" s="4" t="s">
        <v>111</v>
      </c>
      <c r="D26" s="4" t="s">
        <v>374</v>
      </c>
      <c r="E26" s="20" t="s">
        <v>375</v>
      </c>
    </row>
    <row r="27" spans="1:5" x14ac:dyDescent="0.2">
      <c r="A27" s="15" t="s">
        <v>207</v>
      </c>
      <c r="B27" s="4" t="s">
        <v>57</v>
      </c>
      <c r="C27" s="4" t="s">
        <v>23</v>
      </c>
      <c r="D27" s="4" t="s">
        <v>376</v>
      </c>
      <c r="E27" s="20" t="s">
        <v>377</v>
      </c>
    </row>
    <row r="28" spans="1:5" x14ac:dyDescent="0.2">
      <c r="A28" s="15" t="s">
        <v>378</v>
      </c>
      <c r="B28" s="4" t="s">
        <v>57</v>
      </c>
      <c r="C28" s="4" t="s">
        <v>184</v>
      </c>
      <c r="D28" s="4" t="s">
        <v>379</v>
      </c>
      <c r="E28" s="20" t="s">
        <v>380</v>
      </c>
    </row>
  </sheetData>
  <mergeCells count="14"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4.140625" style="4" bestFit="1" customWidth="1"/>
    <col min="7" max="7" width="4.5703125" style="3" bestFit="1" customWidth="1"/>
    <col min="8" max="8" width="4.5703125" style="46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1" t="s">
        <v>381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316</v>
      </c>
      <c r="E3" s="41" t="s">
        <v>4</v>
      </c>
      <c r="F3" s="41" t="s">
        <v>8</v>
      </c>
      <c r="G3" s="41" t="s">
        <v>317</v>
      </c>
      <c r="H3" s="41"/>
      <c r="I3" s="41" t="s">
        <v>318</v>
      </c>
      <c r="J3" s="41" t="s">
        <v>3</v>
      </c>
      <c r="K3" s="27" t="s">
        <v>2</v>
      </c>
    </row>
    <row r="4" spans="1:11" s="1" customFormat="1" ht="21" customHeight="1" thickBot="1" x14ac:dyDescent="0.25">
      <c r="A4" s="38"/>
      <c r="B4" s="40"/>
      <c r="C4" s="40"/>
      <c r="D4" s="40"/>
      <c r="E4" s="40"/>
      <c r="F4" s="40"/>
      <c r="G4" s="26" t="s">
        <v>319</v>
      </c>
      <c r="H4" s="42" t="s">
        <v>320</v>
      </c>
      <c r="I4" s="40"/>
      <c r="J4" s="40"/>
      <c r="K4" s="28"/>
    </row>
    <row r="5" spans="1:11" ht="15" x14ac:dyDescent="0.2">
      <c r="A5" s="29" t="s">
        <v>114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x14ac:dyDescent="0.2">
      <c r="A6" s="18" t="s">
        <v>382</v>
      </c>
      <c r="B6" s="18" t="s">
        <v>383</v>
      </c>
      <c r="C6" s="18" t="s">
        <v>384</v>
      </c>
      <c r="D6" s="18" t="str">
        <f>"0,8765"</f>
        <v>0,8765</v>
      </c>
      <c r="E6" s="18" t="s">
        <v>18</v>
      </c>
      <c r="F6" s="18" t="s">
        <v>19</v>
      </c>
      <c r="G6" s="22" t="s">
        <v>333</v>
      </c>
      <c r="H6" s="43" t="s">
        <v>333</v>
      </c>
      <c r="I6" s="18" t="str">
        <f>"1225,0"</f>
        <v>1225,0</v>
      </c>
      <c r="J6" s="22" t="str">
        <f>"1337,7695"</f>
        <v>1337,7695</v>
      </c>
      <c r="K6" s="18" t="s">
        <v>27</v>
      </c>
    </row>
    <row r="8" spans="1:11" ht="15" x14ac:dyDescent="0.2">
      <c r="A8" s="30" t="s">
        <v>179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x14ac:dyDescent="0.2">
      <c r="A9" s="18" t="s">
        <v>385</v>
      </c>
      <c r="B9" s="18" t="s">
        <v>386</v>
      </c>
      <c r="C9" s="18" t="s">
        <v>183</v>
      </c>
      <c r="D9" s="18" t="str">
        <f>"0,8328"</f>
        <v>0,8328</v>
      </c>
      <c r="E9" s="18" t="s">
        <v>18</v>
      </c>
      <c r="F9" s="18" t="s">
        <v>19</v>
      </c>
      <c r="G9" s="22" t="s">
        <v>324</v>
      </c>
      <c r="H9" s="43" t="s">
        <v>342</v>
      </c>
      <c r="I9" s="18" t="str">
        <f>"1200,0"</f>
        <v>1200,0</v>
      </c>
      <c r="J9" s="22" t="str">
        <f>"999,4200"</f>
        <v>999,4200</v>
      </c>
      <c r="K9" s="18" t="s">
        <v>27</v>
      </c>
    </row>
    <row r="11" spans="1:11" ht="15" x14ac:dyDescent="0.2">
      <c r="A11" s="30" t="s">
        <v>188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1" x14ac:dyDescent="0.2">
      <c r="A12" s="18" t="s">
        <v>387</v>
      </c>
      <c r="B12" s="18" t="s">
        <v>388</v>
      </c>
      <c r="C12" s="18" t="s">
        <v>389</v>
      </c>
      <c r="D12" s="18" t="str">
        <f>"0,7712"</f>
        <v>0,7712</v>
      </c>
      <c r="E12" s="18" t="s">
        <v>18</v>
      </c>
      <c r="F12" s="18" t="s">
        <v>19</v>
      </c>
      <c r="G12" s="22" t="s">
        <v>333</v>
      </c>
      <c r="H12" s="43" t="s">
        <v>390</v>
      </c>
      <c r="I12" s="18" t="str">
        <f>"1015,0"</f>
        <v>1015,0</v>
      </c>
      <c r="J12" s="22" t="str">
        <f>"782,7680"</f>
        <v>782,7680</v>
      </c>
      <c r="K12" s="18" t="s">
        <v>27</v>
      </c>
    </row>
    <row r="14" spans="1:11" ht="15" x14ac:dyDescent="0.2">
      <c r="A14" s="30" t="s">
        <v>114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1" x14ac:dyDescent="0.2">
      <c r="A15" s="18" t="s">
        <v>391</v>
      </c>
      <c r="B15" s="18" t="s">
        <v>392</v>
      </c>
      <c r="C15" s="18" t="s">
        <v>393</v>
      </c>
      <c r="D15" s="18" t="str">
        <f>"0,7411"</f>
        <v>0,7411</v>
      </c>
      <c r="E15" s="18" t="s">
        <v>18</v>
      </c>
      <c r="F15" s="18" t="s">
        <v>19</v>
      </c>
      <c r="G15" s="22" t="s">
        <v>333</v>
      </c>
      <c r="H15" s="43" t="s">
        <v>394</v>
      </c>
      <c r="I15" s="18" t="str">
        <f>"910,0"</f>
        <v>910,0</v>
      </c>
      <c r="J15" s="22" t="str">
        <f>"674,3555"</f>
        <v>674,3555</v>
      </c>
      <c r="K15" s="18" t="s">
        <v>27</v>
      </c>
    </row>
    <row r="17" spans="1:11" ht="15" x14ac:dyDescent="0.2">
      <c r="A17" s="30" t="s">
        <v>60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1" x14ac:dyDescent="0.2">
      <c r="A18" s="18" t="s">
        <v>395</v>
      </c>
      <c r="B18" s="18" t="s">
        <v>396</v>
      </c>
      <c r="C18" s="18" t="s">
        <v>397</v>
      </c>
      <c r="D18" s="18" t="str">
        <f>"0,6545"</f>
        <v>0,6545</v>
      </c>
      <c r="E18" s="18" t="s">
        <v>18</v>
      </c>
      <c r="F18" s="18" t="s">
        <v>19</v>
      </c>
      <c r="G18" s="22" t="s">
        <v>398</v>
      </c>
      <c r="H18" s="43" t="s">
        <v>399</v>
      </c>
      <c r="I18" s="18" t="str">
        <f>"1955,0"</f>
        <v>1955,0</v>
      </c>
      <c r="J18" s="22" t="str">
        <f>"1279,5475"</f>
        <v>1279,5475</v>
      </c>
      <c r="K18" s="18" t="s">
        <v>27</v>
      </c>
    </row>
    <row r="20" spans="1:11" ht="15" x14ac:dyDescent="0.2">
      <c r="E20" s="12" t="s">
        <v>41</v>
      </c>
    </row>
    <row r="21" spans="1:11" ht="15" x14ac:dyDescent="0.2">
      <c r="E21" s="12" t="s">
        <v>42</v>
      </c>
    </row>
    <row r="22" spans="1:11" ht="15" x14ac:dyDescent="0.2">
      <c r="E22" s="12" t="s">
        <v>43</v>
      </c>
    </row>
    <row r="23" spans="1:11" ht="15" x14ac:dyDescent="0.2">
      <c r="E23" s="12" t="s">
        <v>44</v>
      </c>
    </row>
    <row r="24" spans="1:11" ht="15" x14ac:dyDescent="0.2">
      <c r="E24" s="12" t="s">
        <v>44</v>
      </c>
    </row>
    <row r="25" spans="1:11" ht="15" x14ac:dyDescent="0.2">
      <c r="E25" s="12" t="s">
        <v>45</v>
      </c>
    </row>
    <row r="26" spans="1:11" ht="15" x14ac:dyDescent="0.2">
      <c r="E26" s="12"/>
    </row>
    <row r="28" spans="1:11" ht="18" x14ac:dyDescent="0.25">
      <c r="A28" s="13" t="s">
        <v>46</v>
      </c>
      <c r="B28" s="13"/>
    </row>
    <row r="29" spans="1:11" ht="15" x14ac:dyDescent="0.2">
      <c r="A29" s="14" t="s">
        <v>139</v>
      </c>
      <c r="B29" s="14"/>
    </row>
    <row r="30" spans="1:11" ht="14.25" x14ac:dyDescent="0.2">
      <c r="A30" s="16"/>
      <c r="B30" s="17" t="s">
        <v>344</v>
      </c>
    </row>
    <row r="31" spans="1:11" ht="15" x14ac:dyDescent="0.2">
      <c r="A31" s="19" t="s">
        <v>49</v>
      </c>
      <c r="B31" s="19" t="s">
        <v>50</v>
      </c>
      <c r="C31" s="19" t="s">
        <v>51</v>
      </c>
      <c r="D31" s="19" t="s">
        <v>52</v>
      </c>
      <c r="E31" s="19" t="s">
        <v>345</v>
      </c>
    </row>
    <row r="32" spans="1:11" x14ac:dyDescent="0.2">
      <c r="A32" s="15" t="s">
        <v>400</v>
      </c>
      <c r="B32" s="4" t="s">
        <v>401</v>
      </c>
      <c r="C32" s="4" t="s">
        <v>111</v>
      </c>
      <c r="D32" s="4" t="s">
        <v>402</v>
      </c>
      <c r="E32" s="20" t="s">
        <v>403</v>
      </c>
    </row>
    <row r="35" spans="1:5" ht="15" x14ac:dyDescent="0.2">
      <c r="A35" s="14" t="s">
        <v>47</v>
      </c>
      <c r="B35" s="14"/>
    </row>
    <row r="36" spans="1:5" ht="14.25" x14ac:dyDescent="0.2">
      <c r="A36" s="16"/>
      <c r="B36" s="17" t="s">
        <v>48</v>
      </c>
    </row>
    <row r="37" spans="1:5" ht="15" x14ac:dyDescent="0.2">
      <c r="A37" s="19" t="s">
        <v>49</v>
      </c>
      <c r="B37" s="19" t="s">
        <v>50</v>
      </c>
      <c r="C37" s="19" t="s">
        <v>51</v>
      </c>
      <c r="D37" s="19" t="s">
        <v>52</v>
      </c>
      <c r="E37" s="19" t="s">
        <v>345</v>
      </c>
    </row>
    <row r="38" spans="1:5" x14ac:dyDescent="0.2">
      <c r="A38" s="15" t="s">
        <v>404</v>
      </c>
      <c r="B38" s="4" t="s">
        <v>350</v>
      </c>
      <c r="C38" s="4" t="s">
        <v>140</v>
      </c>
      <c r="D38" s="4" t="s">
        <v>405</v>
      </c>
      <c r="E38" s="20" t="s">
        <v>406</v>
      </c>
    </row>
    <row r="39" spans="1:5" x14ac:dyDescent="0.2">
      <c r="A39" s="15" t="s">
        <v>407</v>
      </c>
      <c r="B39" s="4" t="s">
        <v>350</v>
      </c>
      <c r="C39" s="4" t="s">
        <v>229</v>
      </c>
      <c r="D39" s="4" t="s">
        <v>408</v>
      </c>
      <c r="E39" s="20" t="s">
        <v>409</v>
      </c>
    </row>
    <row r="40" spans="1:5" x14ac:dyDescent="0.2">
      <c r="A40" s="15" t="s">
        <v>410</v>
      </c>
      <c r="B40" s="4" t="s">
        <v>350</v>
      </c>
      <c r="C40" s="4" t="s">
        <v>184</v>
      </c>
      <c r="D40" s="4" t="s">
        <v>411</v>
      </c>
      <c r="E40" s="20" t="s">
        <v>412</v>
      </c>
    </row>
    <row r="41" spans="1:5" x14ac:dyDescent="0.2">
      <c r="A41" s="15" t="s">
        <v>413</v>
      </c>
      <c r="B41" s="4" t="s">
        <v>350</v>
      </c>
      <c r="C41" s="4" t="s">
        <v>111</v>
      </c>
      <c r="D41" s="4" t="s">
        <v>414</v>
      </c>
      <c r="E41" s="20" t="s">
        <v>415</v>
      </c>
    </row>
  </sheetData>
  <mergeCells count="16">
    <mergeCell ref="K3:K4"/>
    <mergeCell ref="A5:J5"/>
    <mergeCell ref="A8:J8"/>
    <mergeCell ref="A11:J11"/>
    <mergeCell ref="A14:J14"/>
    <mergeCell ref="A17:J17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F21" sqref="F21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6.42578125" style="4" bestFit="1" customWidth="1"/>
    <col min="7" max="7" width="5.5703125" style="3" bestFit="1" customWidth="1"/>
    <col min="8" max="8" width="4.5703125" style="46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1" t="s">
        <v>416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316</v>
      </c>
      <c r="E3" s="41" t="s">
        <v>4</v>
      </c>
      <c r="F3" s="41" t="s">
        <v>8</v>
      </c>
      <c r="G3" s="41" t="s">
        <v>317</v>
      </c>
      <c r="H3" s="41"/>
      <c r="I3" s="41" t="s">
        <v>318</v>
      </c>
      <c r="J3" s="41" t="s">
        <v>3</v>
      </c>
      <c r="K3" s="27" t="s">
        <v>2</v>
      </c>
    </row>
    <row r="4" spans="1:11" s="1" customFormat="1" ht="21" customHeight="1" thickBot="1" x14ac:dyDescent="0.25">
      <c r="A4" s="38"/>
      <c r="B4" s="40"/>
      <c r="C4" s="40"/>
      <c r="D4" s="40"/>
      <c r="E4" s="40"/>
      <c r="F4" s="40"/>
      <c r="G4" s="26" t="s">
        <v>319</v>
      </c>
      <c r="H4" s="42" t="s">
        <v>320</v>
      </c>
      <c r="I4" s="40"/>
      <c r="J4" s="40"/>
      <c r="K4" s="28"/>
    </row>
    <row r="5" spans="1:11" ht="15" x14ac:dyDescent="0.2">
      <c r="A5" s="29" t="s">
        <v>188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x14ac:dyDescent="0.2">
      <c r="A6" s="18" t="s">
        <v>417</v>
      </c>
      <c r="B6" s="18" t="s">
        <v>418</v>
      </c>
      <c r="C6" s="18" t="s">
        <v>419</v>
      </c>
      <c r="D6" s="18" t="str">
        <f>"0,7671"</f>
        <v>0,7671</v>
      </c>
      <c r="E6" s="18" t="s">
        <v>18</v>
      </c>
      <c r="F6" s="18" t="s">
        <v>172</v>
      </c>
      <c r="G6" s="22" t="s">
        <v>184</v>
      </c>
      <c r="H6" s="43" t="s">
        <v>420</v>
      </c>
      <c r="I6" s="18" t="str">
        <f>"1890,0"</f>
        <v>1890,0</v>
      </c>
      <c r="J6" s="22" t="str">
        <f>"1449,7246"</f>
        <v>1449,7246</v>
      </c>
      <c r="K6" s="18" t="s">
        <v>27</v>
      </c>
    </row>
    <row r="8" spans="1:11" ht="15" x14ac:dyDescent="0.2">
      <c r="A8" s="30" t="s">
        <v>60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x14ac:dyDescent="0.2">
      <c r="A9" s="18" t="s">
        <v>155</v>
      </c>
      <c r="B9" s="18" t="s">
        <v>156</v>
      </c>
      <c r="C9" s="18" t="s">
        <v>157</v>
      </c>
      <c r="D9" s="18" t="str">
        <f>"0,6535"</f>
        <v>0,6535</v>
      </c>
      <c r="E9" s="18" t="s">
        <v>18</v>
      </c>
      <c r="F9" s="18" t="s">
        <v>158</v>
      </c>
      <c r="G9" s="22" t="s">
        <v>140</v>
      </c>
      <c r="H9" s="43" t="s">
        <v>421</v>
      </c>
      <c r="I9" s="18" t="str">
        <f>"2970,0"</f>
        <v>2970,0</v>
      </c>
      <c r="J9" s="22" t="str">
        <f>"1940,7465"</f>
        <v>1940,7465</v>
      </c>
      <c r="K9" s="18" t="s">
        <v>27</v>
      </c>
    </row>
    <row r="11" spans="1:11" ht="15" x14ac:dyDescent="0.2">
      <c r="A11" s="30" t="s">
        <v>13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1" x14ac:dyDescent="0.2">
      <c r="A12" s="18" t="s">
        <v>422</v>
      </c>
      <c r="B12" s="18" t="s">
        <v>423</v>
      </c>
      <c r="C12" s="18" t="s">
        <v>31</v>
      </c>
      <c r="D12" s="18" t="str">
        <f>"0,6119"</f>
        <v>0,6119</v>
      </c>
      <c r="E12" s="18" t="s">
        <v>18</v>
      </c>
      <c r="F12" s="18" t="s">
        <v>19</v>
      </c>
      <c r="G12" s="22" t="s">
        <v>23</v>
      </c>
      <c r="H12" s="43" t="s">
        <v>325</v>
      </c>
      <c r="I12" s="18" t="str">
        <f>"3690,0"</f>
        <v>3690,0</v>
      </c>
      <c r="J12" s="22" t="str">
        <f>"2257,7266"</f>
        <v>2257,7266</v>
      </c>
      <c r="K12" s="18" t="s">
        <v>27</v>
      </c>
    </row>
    <row r="14" spans="1:11" ht="15" x14ac:dyDescent="0.2">
      <c r="A14" s="30" t="s">
        <v>76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1" x14ac:dyDescent="0.2">
      <c r="A15" s="18" t="s">
        <v>424</v>
      </c>
      <c r="B15" s="18" t="s">
        <v>425</v>
      </c>
      <c r="C15" s="18" t="s">
        <v>227</v>
      </c>
      <c r="D15" s="18" t="str">
        <f>"0,5663"</f>
        <v>0,5663</v>
      </c>
      <c r="E15" s="18" t="s">
        <v>18</v>
      </c>
      <c r="F15" s="18" t="s">
        <v>19</v>
      </c>
      <c r="G15" s="22" t="s">
        <v>264</v>
      </c>
      <c r="H15" s="43" t="s">
        <v>426</v>
      </c>
      <c r="I15" s="18" t="str">
        <f>"1505,0"</f>
        <v>1505,0</v>
      </c>
      <c r="J15" s="22" t="str">
        <f>"878,7022"</f>
        <v>878,7022</v>
      </c>
      <c r="K15" s="18" t="s">
        <v>27</v>
      </c>
    </row>
    <row r="17" spans="1:5" ht="15" x14ac:dyDescent="0.2">
      <c r="E17" s="12" t="s">
        <v>41</v>
      </c>
    </row>
    <row r="18" spans="1:5" ht="15" x14ac:dyDescent="0.2">
      <c r="E18" s="12" t="s">
        <v>42</v>
      </c>
    </row>
    <row r="19" spans="1:5" ht="15" x14ac:dyDescent="0.2">
      <c r="E19" s="12" t="s">
        <v>43</v>
      </c>
    </row>
    <row r="20" spans="1:5" ht="15" x14ac:dyDescent="0.2">
      <c r="E20" s="12" t="s">
        <v>44</v>
      </c>
    </row>
    <row r="21" spans="1:5" ht="15" x14ac:dyDescent="0.2">
      <c r="E21" s="12" t="s">
        <v>44</v>
      </c>
    </row>
    <row r="22" spans="1:5" ht="15" x14ac:dyDescent="0.2">
      <c r="E22" s="12" t="s">
        <v>45</v>
      </c>
    </row>
    <row r="23" spans="1:5" ht="15" x14ac:dyDescent="0.2">
      <c r="E23" s="12"/>
    </row>
    <row r="25" spans="1:5" ht="18" x14ac:dyDescent="0.25">
      <c r="A25" s="13" t="s">
        <v>46</v>
      </c>
      <c r="B25" s="13"/>
    </row>
    <row r="26" spans="1:5" ht="15" x14ac:dyDescent="0.2">
      <c r="A26" s="14" t="s">
        <v>47</v>
      </c>
      <c r="B26" s="14"/>
    </row>
    <row r="27" spans="1:5" ht="14.25" x14ac:dyDescent="0.2">
      <c r="A27" s="16"/>
      <c r="B27" s="17" t="s">
        <v>57</v>
      </c>
    </row>
    <row r="28" spans="1:5" ht="15" x14ac:dyDescent="0.2">
      <c r="A28" s="19" t="s">
        <v>49</v>
      </c>
      <c r="B28" s="19" t="s">
        <v>50</v>
      </c>
      <c r="C28" s="19" t="s">
        <v>51</v>
      </c>
      <c r="D28" s="19" t="s">
        <v>52</v>
      </c>
      <c r="E28" s="19" t="s">
        <v>345</v>
      </c>
    </row>
    <row r="29" spans="1:5" x14ac:dyDescent="0.2">
      <c r="A29" s="15" t="s">
        <v>427</v>
      </c>
      <c r="B29" s="4" t="s">
        <v>57</v>
      </c>
      <c r="C29" s="4" t="s">
        <v>23</v>
      </c>
      <c r="D29" s="4" t="s">
        <v>428</v>
      </c>
      <c r="E29" s="20" t="s">
        <v>429</v>
      </c>
    </row>
    <row r="30" spans="1:5" x14ac:dyDescent="0.2">
      <c r="A30" s="15" t="s">
        <v>154</v>
      </c>
      <c r="B30" s="4" t="s">
        <v>57</v>
      </c>
      <c r="C30" s="4" t="s">
        <v>140</v>
      </c>
      <c r="D30" s="4" t="s">
        <v>430</v>
      </c>
      <c r="E30" s="20" t="s">
        <v>431</v>
      </c>
    </row>
    <row r="31" spans="1:5" x14ac:dyDescent="0.2">
      <c r="A31" s="15" t="s">
        <v>432</v>
      </c>
      <c r="B31" s="4" t="s">
        <v>57</v>
      </c>
      <c r="C31" s="4" t="s">
        <v>184</v>
      </c>
      <c r="D31" s="4" t="s">
        <v>433</v>
      </c>
      <c r="E31" s="20" t="s">
        <v>434</v>
      </c>
    </row>
    <row r="33" spans="1:5" ht="14.25" x14ac:dyDescent="0.2">
      <c r="A33" s="16"/>
      <c r="B33" s="17" t="s">
        <v>344</v>
      </c>
    </row>
    <row r="34" spans="1:5" ht="15" x14ac:dyDescent="0.2">
      <c r="A34" s="19" t="s">
        <v>49</v>
      </c>
      <c r="B34" s="19" t="s">
        <v>50</v>
      </c>
      <c r="C34" s="19" t="s">
        <v>51</v>
      </c>
      <c r="D34" s="19" t="s">
        <v>52</v>
      </c>
      <c r="E34" s="19" t="s">
        <v>345</v>
      </c>
    </row>
    <row r="35" spans="1:5" x14ac:dyDescent="0.2">
      <c r="A35" s="15" t="s">
        <v>435</v>
      </c>
      <c r="B35" s="4" t="s">
        <v>347</v>
      </c>
      <c r="C35" s="4" t="s">
        <v>83</v>
      </c>
      <c r="D35" s="4" t="s">
        <v>436</v>
      </c>
      <c r="E35" s="20" t="s">
        <v>437</v>
      </c>
    </row>
  </sheetData>
  <mergeCells count="15">
    <mergeCell ref="K3:K4"/>
    <mergeCell ref="A5:J5"/>
    <mergeCell ref="A8:J8"/>
    <mergeCell ref="A11:J11"/>
    <mergeCell ref="A14:J1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1" style="4" bestFit="1" customWidth="1"/>
    <col min="14" max="16384" width="9.140625" style="3"/>
  </cols>
  <sheetData>
    <row r="1" spans="1:13" s="2" customFormat="1" ht="29.1" customHeight="1" x14ac:dyDescent="0.2">
      <c r="A1" s="31" t="s">
        <v>307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12</v>
      </c>
      <c r="H3" s="41"/>
      <c r="I3" s="41"/>
      <c r="J3" s="41"/>
      <c r="K3" s="41" t="s">
        <v>178</v>
      </c>
      <c r="L3" s="41" t="s">
        <v>3</v>
      </c>
      <c r="M3" s="27" t="s">
        <v>2</v>
      </c>
    </row>
    <row r="4" spans="1:13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28"/>
    </row>
    <row r="5" spans="1:13" ht="15" x14ac:dyDescent="0.2">
      <c r="A5" s="29" t="s">
        <v>255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2">
      <c r="A6" s="18" t="s">
        <v>257</v>
      </c>
      <c r="B6" s="18" t="s">
        <v>258</v>
      </c>
      <c r="C6" s="18" t="s">
        <v>259</v>
      </c>
      <c r="D6" s="18" t="str">
        <f>"1,3428"</f>
        <v>1,3428</v>
      </c>
      <c r="E6" s="18" t="s">
        <v>18</v>
      </c>
      <c r="F6" s="18" t="s">
        <v>19</v>
      </c>
      <c r="G6" s="21" t="s">
        <v>111</v>
      </c>
      <c r="H6" s="21" t="s">
        <v>111</v>
      </c>
      <c r="I6" s="22" t="s">
        <v>111</v>
      </c>
      <c r="J6" s="21"/>
      <c r="K6" s="18" t="str">
        <f>"75,0"</f>
        <v>75,0</v>
      </c>
      <c r="L6" s="22" t="str">
        <f>"100,7100"</f>
        <v>100,7100</v>
      </c>
      <c r="M6" s="18" t="s">
        <v>27</v>
      </c>
    </row>
    <row r="8" spans="1:13" ht="15" x14ac:dyDescent="0.2">
      <c r="A8" s="30" t="s">
        <v>188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x14ac:dyDescent="0.2">
      <c r="A9" s="18" t="s">
        <v>261</v>
      </c>
      <c r="B9" s="18" t="s">
        <v>262</v>
      </c>
      <c r="C9" s="18" t="s">
        <v>192</v>
      </c>
      <c r="D9" s="18" t="str">
        <f>"1,0217"</f>
        <v>1,0217</v>
      </c>
      <c r="E9" s="18" t="s">
        <v>18</v>
      </c>
      <c r="F9" s="18" t="s">
        <v>19</v>
      </c>
      <c r="G9" s="22" t="s">
        <v>24</v>
      </c>
      <c r="H9" s="22" t="s">
        <v>263</v>
      </c>
      <c r="I9" s="21" t="s">
        <v>264</v>
      </c>
      <c r="J9" s="21"/>
      <c r="K9" s="18" t="str">
        <f>"105,0"</f>
        <v>105,0</v>
      </c>
      <c r="L9" s="22" t="str">
        <f>"107,2785"</f>
        <v>107,2785</v>
      </c>
      <c r="M9" s="18" t="s">
        <v>27</v>
      </c>
    </row>
    <row r="11" spans="1:13" ht="15" x14ac:dyDescent="0.2">
      <c r="A11" s="30" t="s">
        <v>188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3" x14ac:dyDescent="0.2">
      <c r="A12" s="18" t="s">
        <v>266</v>
      </c>
      <c r="B12" s="18" t="s">
        <v>267</v>
      </c>
      <c r="C12" s="18" t="s">
        <v>268</v>
      </c>
      <c r="D12" s="18" t="str">
        <f>"0,8035"</f>
        <v>0,8035</v>
      </c>
      <c r="E12" s="18" t="s">
        <v>18</v>
      </c>
      <c r="F12" s="18" t="s">
        <v>19</v>
      </c>
      <c r="G12" s="21" t="s">
        <v>112</v>
      </c>
      <c r="H12" s="22" t="s">
        <v>112</v>
      </c>
      <c r="I12" s="21" t="s">
        <v>113</v>
      </c>
      <c r="J12" s="21"/>
      <c r="K12" s="18" t="str">
        <f>"130,0"</f>
        <v>130,0</v>
      </c>
      <c r="L12" s="22" t="str">
        <f>"104,4550"</f>
        <v>104,4550</v>
      </c>
      <c r="M12" s="18" t="s">
        <v>269</v>
      </c>
    </row>
    <row r="14" spans="1:13" ht="15" x14ac:dyDescent="0.2">
      <c r="A14" s="30" t="s">
        <v>120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x14ac:dyDescent="0.2">
      <c r="A15" s="18" t="s">
        <v>271</v>
      </c>
      <c r="B15" s="18" t="s">
        <v>272</v>
      </c>
      <c r="C15" s="18" t="s">
        <v>273</v>
      </c>
      <c r="D15" s="18" t="str">
        <f>"0,6134"</f>
        <v>0,6134</v>
      </c>
      <c r="E15" s="18" t="s">
        <v>18</v>
      </c>
      <c r="F15" s="18" t="s">
        <v>274</v>
      </c>
      <c r="G15" s="22" t="s">
        <v>34</v>
      </c>
      <c r="H15" s="22" t="s">
        <v>72</v>
      </c>
      <c r="I15" s="22" t="s">
        <v>75</v>
      </c>
      <c r="J15" s="21"/>
      <c r="K15" s="18" t="str">
        <f>"255,0"</f>
        <v>255,0</v>
      </c>
      <c r="L15" s="22" t="str">
        <f>"156,4170"</f>
        <v>156,4170</v>
      </c>
      <c r="M15" s="18" t="s">
        <v>27</v>
      </c>
    </row>
    <row r="17" spans="1:13" ht="15" x14ac:dyDescent="0.2">
      <c r="A17" s="30" t="s">
        <v>76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3" x14ac:dyDescent="0.2">
      <c r="A18" s="18" t="s">
        <v>87</v>
      </c>
      <c r="B18" s="18" t="s">
        <v>88</v>
      </c>
      <c r="C18" s="18" t="s">
        <v>89</v>
      </c>
      <c r="D18" s="18" t="str">
        <f>"0,5919"</f>
        <v>0,5919</v>
      </c>
      <c r="E18" s="18" t="s">
        <v>18</v>
      </c>
      <c r="F18" s="18" t="s">
        <v>90</v>
      </c>
      <c r="G18" s="22" t="s">
        <v>95</v>
      </c>
      <c r="H18" s="21"/>
      <c r="I18" s="21"/>
      <c r="J18" s="21"/>
      <c r="K18" s="18" t="str">
        <f>"305,0"</f>
        <v>305,0</v>
      </c>
      <c r="L18" s="22" t="str">
        <f>"180,5295"</f>
        <v>180,5295</v>
      </c>
      <c r="M18" s="18" t="s">
        <v>27</v>
      </c>
    </row>
    <row r="20" spans="1:13" ht="15" x14ac:dyDescent="0.2">
      <c r="E20" s="12" t="s">
        <v>41</v>
      </c>
    </row>
    <row r="21" spans="1:13" ht="15" x14ac:dyDescent="0.2">
      <c r="E21" s="12" t="s">
        <v>42</v>
      </c>
    </row>
    <row r="22" spans="1:13" ht="15" x14ac:dyDescent="0.2">
      <c r="E22" s="12" t="s">
        <v>43</v>
      </c>
    </row>
    <row r="23" spans="1:13" ht="15" x14ac:dyDescent="0.2">
      <c r="E23" s="12" t="s">
        <v>44</v>
      </c>
    </row>
    <row r="24" spans="1:13" ht="15" x14ac:dyDescent="0.2">
      <c r="E24" s="12" t="s">
        <v>44</v>
      </c>
    </row>
    <row r="25" spans="1:13" ht="15" x14ac:dyDescent="0.2">
      <c r="E25" s="12" t="s">
        <v>45</v>
      </c>
    </row>
    <row r="26" spans="1:13" ht="15" x14ac:dyDescent="0.2">
      <c r="E26" s="12"/>
    </row>
    <row r="28" spans="1:13" ht="18" x14ac:dyDescent="0.25">
      <c r="A28" s="13" t="s">
        <v>46</v>
      </c>
      <c r="B28" s="13"/>
    </row>
    <row r="29" spans="1:13" ht="15" x14ac:dyDescent="0.2">
      <c r="A29" s="14" t="s">
        <v>139</v>
      </c>
      <c r="B29" s="14"/>
    </row>
    <row r="30" spans="1:13" ht="14.25" x14ac:dyDescent="0.2">
      <c r="A30" s="16"/>
      <c r="B30" s="17" t="s">
        <v>275</v>
      </c>
    </row>
    <row r="31" spans="1:13" ht="15" x14ac:dyDescent="0.2">
      <c r="A31" s="19" t="s">
        <v>49</v>
      </c>
      <c r="B31" s="19" t="s">
        <v>50</v>
      </c>
      <c r="C31" s="19" t="s">
        <v>51</v>
      </c>
      <c r="D31" s="19" t="s">
        <v>52</v>
      </c>
      <c r="E31" s="19" t="s">
        <v>53</v>
      </c>
    </row>
    <row r="32" spans="1:13" x14ac:dyDescent="0.2">
      <c r="A32" s="15" t="s">
        <v>260</v>
      </c>
      <c r="B32" s="4" t="s">
        <v>144</v>
      </c>
      <c r="C32" s="4" t="s">
        <v>184</v>
      </c>
      <c r="D32" s="4" t="s">
        <v>263</v>
      </c>
      <c r="E32" s="20" t="s">
        <v>276</v>
      </c>
    </row>
    <row r="33" spans="1:5" x14ac:dyDescent="0.2">
      <c r="A33" s="15" t="s">
        <v>256</v>
      </c>
      <c r="B33" s="4" t="s">
        <v>144</v>
      </c>
      <c r="C33" s="4" t="s">
        <v>277</v>
      </c>
      <c r="D33" s="4" t="s">
        <v>111</v>
      </c>
      <c r="E33" s="20" t="s">
        <v>278</v>
      </c>
    </row>
    <row r="36" spans="1:5" ht="15" x14ac:dyDescent="0.2">
      <c r="A36" s="14" t="s">
        <v>47</v>
      </c>
      <c r="B36" s="14"/>
    </row>
    <row r="37" spans="1:5" ht="14.25" x14ac:dyDescent="0.2">
      <c r="A37" s="16"/>
      <c r="B37" s="17" t="s">
        <v>48</v>
      </c>
    </row>
    <row r="38" spans="1:5" ht="15" x14ac:dyDescent="0.2">
      <c r="A38" s="19" t="s">
        <v>49</v>
      </c>
      <c r="B38" s="19" t="s">
        <v>50</v>
      </c>
      <c r="C38" s="19" t="s">
        <v>51</v>
      </c>
      <c r="D38" s="19" t="s">
        <v>52</v>
      </c>
      <c r="E38" s="19" t="s">
        <v>53</v>
      </c>
    </row>
    <row r="39" spans="1:5" x14ac:dyDescent="0.2">
      <c r="A39" s="15" t="s">
        <v>265</v>
      </c>
      <c r="B39" s="4" t="s">
        <v>54</v>
      </c>
      <c r="C39" s="4" t="s">
        <v>184</v>
      </c>
      <c r="D39" s="4" t="s">
        <v>112</v>
      </c>
      <c r="E39" s="20" t="s">
        <v>279</v>
      </c>
    </row>
    <row r="41" spans="1:5" ht="14.25" x14ac:dyDescent="0.2">
      <c r="A41" s="16"/>
      <c r="B41" s="17" t="s">
        <v>143</v>
      </c>
    </row>
    <row r="42" spans="1:5" ht="15" x14ac:dyDescent="0.2">
      <c r="A42" s="19" t="s">
        <v>49</v>
      </c>
      <c r="B42" s="19" t="s">
        <v>50</v>
      </c>
      <c r="C42" s="19" t="s">
        <v>51</v>
      </c>
      <c r="D42" s="19" t="s">
        <v>52</v>
      </c>
      <c r="E42" s="19" t="s">
        <v>53</v>
      </c>
    </row>
    <row r="43" spans="1:5" x14ac:dyDescent="0.2">
      <c r="A43" s="15" t="s">
        <v>270</v>
      </c>
      <c r="B43" s="4" t="s">
        <v>144</v>
      </c>
      <c r="C43" s="4" t="s">
        <v>25</v>
      </c>
      <c r="D43" s="4" t="s">
        <v>75</v>
      </c>
      <c r="E43" s="20" t="s">
        <v>280</v>
      </c>
    </row>
    <row r="45" spans="1:5" ht="14.25" x14ac:dyDescent="0.2">
      <c r="A45" s="16"/>
      <c r="B45" s="17" t="s">
        <v>57</v>
      </c>
    </row>
    <row r="46" spans="1:5" ht="15" x14ac:dyDescent="0.2">
      <c r="A46" s="19" t="s">
        <v>49</v>
      </c>
      <c r="B46" s="19" t="s">
        <v>50</v>
      </c>
      <c r="C46" s="19" t="s">
        <v>51</v>
      </c>
      <c r="D46" s="19" t="s">
        <v>52</v>
      </c>
      <c r="E46" s="19" t="s">
        <v>53</v>
      </c>
    </row>
    <row r="47" spans="1:5" x14ac:dyDescent="0.2">
      <c r="A47" s="15" t="s">
        <v>86</v>
      </c>
      <c r="B47" s="4" t="s">
        <v>57</v>
      </c>
      <c r="C47" s="4" t="s">
        <v>83</v>
      </c>
      <c r="D47" s="4" t="s">
        <v>95</v>
      </c>
      <c r="E47" s="20" t="s">
        <v>281</v>
      </c>
    </row>
  </sheetData>
  <mergeCells count="16">
    <mergeCell ref="A14:L14"/>
    <mergeCell ref="A17:L17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F19" sqref="F19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1" t="s">
        <v>438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98.25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11</v>
      </c>
      <c r="H3" s="41"/>
      <c r="I3" s="41"/>
      <c r="J3" s="41"/>
      <c r="K3" s="41" t="s">
        <v>178</v>
      </c>
      <c r="L3" s="41" t="s">
        <v>3</v>
      </c>
      <c r="M3" s="27" t="s">
        <v>2</v>
      </c>
    </row>
    <row r="4" spans="1:13" s="1" customFormat="1" ht="21" customHeight="1" thickBot="1" x14ac:dyDescent="0.25">
      <c r="A4" s="38"/>
      <c r="B4" s="40"/>
      <c r="C4" s="40"/>
      <c r="D4" s="40"/>
      <c r="E4" s="40"/>
      <c r="F4" s="40"/>
      <c r="G4" s="26">
        <v>1</v>
      </c>
      <c r="H4" s="26">
        <v>2</v>
      </c>
      <c r="I4" s="26">
        <v>3</v>
      </c>
      <c r="J4" s="26" t="s">
        <v>5</v>
      </c>
      <c r="K4" s="40"/>
      <c r="L4" s="40"/>
      <c r="M4" s="28"/>
    </row>
    <row r="5" spans="1:13" ht="15" x14ac:dyDescent="0.2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2">
      <c r="A6" s="18" t="s">
        <v>245</v>
      </c>
      <c r="B6" s="18" t="s">
        <v>246</v>
      </c>
      <c r="C6" s="18" t="s">
        <v>247</v>
      </c>
      <c r="D6" s="18" t="str">
        <f>"0,5897"</f>
        <v>0,5897</v>
      </c>
      <c r="E6" s="18" t="s">
        <v>18</v>
      </c>
      <c r="F6" s="18" t="s">
        <v>248</v>
      </c>
      <c r="G6" s="22" t="s">
        <v>75</v>
      </c>
      <c r="H6" s="22" t="s">
        <v>131</v>
      </c>
      <c r="I6" s="22" t="s">
        <v>439</v>
      </c>
      <c r="J6" s="21"/>
      <c r="K6" s="18" t="str">
        <f>"275,0"</f>
        <v>275,0</v>
      </c>
      <c r="L6" s="22" t="str">
        <f>"162,1675"</f>
        <v>162,1675</v>
      </c>
      <c r="M6" s="18" t="s">
        <v>27</v>
      </c>
    </row>
    <row r="8" spans="1:13" ht="15" x14ac:dyDescent="0.2">
      <c r="A8" s="30" t="s">
        <v>132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x14ac:dyDescent="0.2">
      <c r="A9" s="6" t="s">
        <v>440</v>
      </c>
      <c r="B9" s="6" t="s">
        <v>441</v>
      </c>
      <c r="C9" s="6" t="s">
        <v>442</v>
      </c>
      <c r="D9" s="6" t="str">
        <f>"0,5817"</f>
        <v>0,5817</v>
      </c>
      <c r="E9" s="6" t="s">
        <v>18</v>
      </c>
      <c r="F9" s="6" t="s">
        <v>443</v>
      </c>
      <c r="G9" s="8" t="s">
        <v>444</v>
      </c>
      <c r="H9" s="8" t="s">
        <v>444</v>
      </c>
      <c r="I9" s="7" t="s">
        <v>444</v>
      </c>
      <c r="J9" s="8"/>
      <c r="K9" s="6" t="str">
        <f>"285,0"</f>
        <v>285,0</v>
      </c>
      <c r="L9" s="7" t="str">
        <f>"165,7845"</f>
        <v>165,7845</v>
      </c>
      <c r="M9" s="6" t="s">
        <v>27</v>
      </c>
    </row>
    <row r="10" spans="1:13" x14ac:dyDescent="0.2">
      <c r="A10" s="9" t="s">
        <v>445</v>
      </c>
      <c r="B10" s="9" t="s">
        <v>446</v>
      </c>
      <c r="C10" s="9" t="s">
        <v>447</v>
      </c>
      <c r="D10" s="9" t="str">
        <f>"0,5703"</f>
        <v>0,5703</v>
      </c>
      <c r="E10" s="9" t="s">
        <v>18</v>
      </c>
      <c r="F10" s="9" t="s">
        <v>19</v>
      </c>
      <c r="G10" s="10" t="s">
        <v>40</v>
      </c>
      <c r="H10" s="10" t="s">
        <v>93</v>
      </c>
      <c r="I10" s="11" t="s">
        <v>448</v>
      </c>
      <c r="J10" s="11"/>
      <c r="K10" s="9" t="str">
        <f>"280,0"</f>
        <v>280,0</v>
      </c>
      <c r="L10" s="10" t="str">
        <f>"159,6840"</f>
        <v>159,6840</v>
      </c>
      <c r="M10" s="9" t="s">
        <v>27</v>
      </c>
    </row>
    <row r="12" spans="1:13" ht="15" x14ac:dyDescent="0.2">
      <c r="A12" s="30" t="s">
        <v>449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3" x14ac:dyDescent="0.2">
      <c r="A13" s="18" t="s">
        <v>450</v>
      </c>
      <c r="B13" s="18" t="s">
        <v>451</v>
      </c>
      <c r="C13" s="18" t="s">
        <v>452</v>
      </c>
      <c r="D13" s="18" t="str">
        <f>"0,5596"</f>
        <v>0,5596</v>
      </c>
      <c r="E13" s="18" t="s">
        <v>18</v>
      </c>
      <c r="F13" s="18" t="s">
        <v>453</v>
      </c>
      <c r="G13" s="21" t="s">
        <v>454</v>
      </c>
      <c r="H13" s="21"/>
      <c r="I13" s="21"/>
      <c r="J13" s="21"/>
      <c r="K13" s="18" t="str">
        <f>"0.00"</f>
        <v>0.00</v>
      </c>
      <c r="L13" s="22" t="str">
        <f>"0,0000"</f>
        <v>0,0000</v>
      </c>
      <c r="M13" s="18" t="s">
        <v>27</v>
      </c>
    </row>
    <row r="15" spans="1:13" ht="15" x14ac:dyDescent="0.2">
      <c r="E15" s="12" t="s">
        <v>41</v>
      </c>
    </row>
    <row r="16" spans="1:13" ht="15" x14ac:dyDescent="0.2">
      <c r="E16" s="12" t="s">
        <v>42</v>
      </c>
    </row>
    <row r="17" spans="1:5" ht="15" x14ac:dyDescent="0.2">
      <c r="E17" s="12" t="s">
        <v>43</v>
      </c>
    </row>
    <row r="18" spans="1:5" ht="15" x14ac:dyDescent="0.2">
      <c r="E18" s="12" t="s">
        <v>44</v>
      </c>
    </row>
    <row r="19" spans="1:5" ht="15" x14ac:dyDescent="0.2">
      <c r="E19" s="12" t="s">
        <v>44</v>
      </c>
    </row>
    <row r="20" spans="1:5" ht="15" x14ac:dyDescent="0.2">
      <c r="E20" s="12" t="s">
        <v>45</v>
      </c>
    </row>
    <row r="21" spans="1:5" ht="15" x14ac:dyDescent="0.2">
      <c r="E21" s="12"/>
    </row>
    <row r="23" spans="1:5" ht="18" x14ac:dyDescent="0.25">
      <c r="A23" s="13" t="s">
        <v>46</v>
      </c>
      <c r="B23" s="13"/>
    </row>
    <row r="24" spans="1:5" ht="15" x14ac:dyDescent="0.2">
      <c r="A24" s="14" t="s">
        <v>47</v>
      </c>
      <c r="B24" s="14"/>
    </row>
    <row r="25" spans="1:5" ht="14.25" x14ac:dyDescent="0.2">
      <c r="A25" s="16"/>
      <c r="B25" s="17" t="s">
        <v>57</v>
      </c>
    </row>
    <row r="26" spans="1:5" ht="15" x14ac:dyDescent="0.2">
      <c r="A26" s="19" t="s">
        <v>49</v>
      </c>
      <c r="B26" s="19" t="s">
        <v>50</v>
      </c>
      <c r="C26" s="19" t="s">
        <v>51</v>
      </c>
      <c r="D26" s="19" t="s">
        <v>52</v>
      </c>
      <c r="E26" s="19" t="s">
        <v>53</v>
      </c>
    </row>
    <row r="27" spans="1:5" x14ac:dyDescent="0.2">
      <c r="A27" s="15" t="s">
        <v>455</v>
      </c>
      <c r="B27" s="4" t="s">
        <v>57</v>
      </c>
      <c r="C27" s="4" t="s">
        <v>151</v>
      </c>
      <c r="D27" s="4" t="s">
        <v>444</v>
      </c>
      <c r="E27" s="20" t="s">
        <v>456</v>
      </c>
    </row>
    <row r="28" spans="1:5" x14ac:dyDescent="0.2">
      <c r="A28" s="15" t="s">
        <v>244</v>
      </c>
      <c r="B28" s="4" t="s">
        <v>57</v>
      </c>
      <c r="C28" s="4" t="s">
        <v>83</v>
      </c>
      <c r="D28" s="4" t="s">
        <v>439</v>
      </c>
      <c r="E28" s="20" t="s">
        <v>457</v>
      </c>
    </row>
    <row r="29" spans="1:5" x14ac:dyDescent="0.2">
      <c r="A29" s="15" t="s">
        <v>458</v>
      </c>
      <c r="B29" s="4" t="s">
        <v>57</v>
      </c>
      <c r="C29" s="4" t="s">
        <v>151</v>
      </c>
      <c r="D29" s="4" t="s">
        <v>93</v>
      </c>
      <c r="E29" s="20" t="s">
        <v>459</v>
      </c>
    </row>
  </sheetData>
  <mergeCells count="14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9.7109375" style="4" bestFit="1" customWidth="1"/>
    <col min="4" max="4" width="6.5703125" style="4" bestFit="1" customWidth="1"/>
    <col min="5" max="5" width="22.7109375" style="4" bestFit="1" customWidth="1"/>
    <col min="6" max="6" width="24.140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6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1" t="s">
        <v>308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11</v>
      </c>
      <c r="H3" s="41"/>
      <c r="I3" s="41"/>
      <c r="J3" s="41"/>
      <c r="K3" s="41" t="s">
        <v>178</v>
      </c>
      <c r="L3" s="41" t="s">
        <v>3</v>
      </c>
      <c r="M3" s="27" t="s">
        <v>2</v>
      </c>
    </row>
    <row r="4" spans="1:13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28"/>
    </row>
    <row r="5" spans="1:13" ht="15" x14ac:dyDescent="0.2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2">
      <c r="A6" s="18" t="s">
        <v>252</v>
      </c>
      <c r="B6" s="18" t="s">
        <v>253</v>
      </c>
      <c r="C6" s="18" t="s">
        <v>31</v>
      </c>
      <c r="D6" s="18" t="str">
        <f>"0,6384"</f>
        <v>0,6384</v>
      </c>
      <c r="E6" s="18" t="s">
        <v>18</v>
      </c>
      <c r="F6" s="18" t="s">
        <v>19</v>
      </c>
      <c r="G6" s="21" t="s">
        <v>85</v>
      </c>
      <c r="H6" s="21" t="s">
        <v>254</v>
      </c>
      <c r="I6" s="21" t="s">
        <v>254</v>
      </c>
      <c r="J6" s="21"/>
      <c r="K6" s="18" t="str">
        <f>"0.00"</f>
        <v>0.00</v>
      </c>
      <c r="L6" s="22" t="str">
        <f>"0,0000"</f>
        <v>0,0000</v>
      </c>
      <c r="M6" s="18" t="s">
        <v>27</v>
      </c>
    </row>
    <row r="8" spans="1:13" ht="15" x14ac:dyDescent="0.2">
      <c r="E8" s="12" t="s">
        <v>41</v>
      </c>
    </row>
    <row r="9" spans="1:13" ht="15" x14ac:dyDescent="0.2">
      <c r="E9" s="12" t="s">
        <v>42</v>
      </c>
    </row>
    <row r="10" spans="1:13" ht="15" x14ac:dyDescent="0.2">
      <c r="E10" s="12" t="s">
        <v>43</v>
      </c>
    </row>
    <row r="11" spans="1:13" ht="15" x14ac:dyDescent="0.2">
      <c r="E11" s="12" t="s">
        <v>44</v>
      </c>
    </row>
    <row r="12" spans="1:13" ht="15" x14ac:dyDescent="0.2">
      <c r="E12" s="12" t="s">
        <v>44</v>
      </c>
    </row>
    <row r="13" spans="1:13" ht="15" x14ac:dyDescent="0.2">
      <c r="E13" s="12" t="s">
        <v>45</v>
      </c>
    </row>
    <row r="14" spans="1:13" ht="15" x14ac:dyDescent="0.2">
      <c r="E14" s="12"/>
    </row>
    <row r="16" spans="1:13" ht="18" x14ac:dyDescent="0.25">
      <c r="A16" s="13" t="s">
        <v>46</v>
      </c>
      <c r="B16" s="13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18" sqref="B18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1" t="s">
        <v>309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11</v>
      </c>
      <c r="H3" s="41"/>
      <c r="I3" s="41"/>
      <c r="J3" s="41"/>
      <c r="K3" s="41" t="s">
        <v>178</v>
      </c>
      <c r="L3" s="41" t="s">
        <v>3</v>
      </c>
      <c r="M3" s="27" t="s">
        <v>2</v>
      </c>
    </row>
    <row r="4" spans="1:13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28"/>
    </row>
    <row r="5" spans="1:13" ht="15" x14ac:dyDescent="0.2">
      <c r="A5" s="29" t="s">
        <v>120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2">
      <c r="A6" s="18" t="s">
        <v>241</v>
      </c>
      <c r="B6" s="18" t="s">
        <v>242</v>
      </c>
      <c r="C6" s="18" t="s">
        <v>218</v>
      </c>
      <c r="D6" s="18" t="str">
        <f>"0,6161"</f>
        <v>0,6161</v>
      </c>
      <c r="E6" s="18" t="s">
        <v>18</v>
      </c>
      <c r="F6" s="18" t="s">
        <v>19</v>
      </c>
      <c r="G6" s="22" t="s">
        <v>26</v>
      </c>
      <c r="H6" s="21" t="s">
        <v>243</v>
      </c>
      <c r="I6" s="21" t="s">
        <v>243</v>
      </c>
      <c r="J6" s="21"/>
      <c r="K6" s="18" t="str">
        <f>"180,0"</f>
        <v>180,0</v>
      </c>
      <c r="L6" s="22" t="str">
        <f>"138,1789"</f>
        <v>138,1789</v>
      </c>
      <c r="M6" s="18" t="s">
        <v>27</v>
      </c>
    </row>
    <row r="8" spans="1:13" ht="15" x14ac:dyDescent="0.2">
      <c r="A8" s="30" t="s">
        <v>76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x14ac:dyDescent="0.2">
      <c r="A9" s="18" t="s">
        <v>245</v>
      </c>
      <c r="B9" s="18" t="s">
        <v>246</v>
      </c>
      <c r="C9" s="18" t="s">
        <v>247</v>
      </c>
      <c r="D9" s="18" t="str">
        <f>"0,5897"</f>
        <v>0,5897</v>
      </c>
      <c r="E9" s="18" t="s">
        <v>18</v>
      </c>
      <c r="F9" s="18" t="s">
        <v>248</v>
      </c>
      <c r="G9" s="22" t="s">
        <v>74</v>
      </c>
      <c r="H9" s="22" t="s">
        <v>75</v>
      </c>
      <c r="I9" s="21"/>
      <c r="J9" s="21"/>
      <c r="K9" s="18" t="str">
        <f>"255,0"</f>
        <v>255,0</v>
      </c>
      <c r="L9" s="22" t="str">
        <f>"150,3735"</f>
        <v>150,3735</v>
      </c>
      <c r="M9" s="18" t="s">
        <v>27</v>
      </c>
    </row>
    <row r="12" spans="1:13" ht="15" x14ac:dyDescent="0.2">
      <c r="E12" s="12" t="s">
        <v>41</v>
      </c>
    </row>
    <row r="13" spans="1:13" ht="15" x14ac:dyDescent="0.2">
      <c r="E13" s="12" t="s">
        <v>42</v>
      </c>
    </row>
    <row r="14" spans="1:13" ht="15" x14ac:dyDescent="0.2">
      <c r="E14" s="12" t="s">
        <v>43</v>
      </c>
    </row>
    <row r="15" spans="1:13" ht="15" x14ac:dyDescent="0.2">
      <c r="E15" s="12" t="s">
        <v>44</v>
      </c>
    </row>
    <row r="16" spans="1:13" ht="15" x14ac:dyDescent="0.2">
      <c r="E16" s="12" t="s">
        <v>44</v>
      </c>
    </row>
    <row r="17" spans="1:5" ht="15" x14ac:dyDescent="0.2">
      <c r="E17" s="12" t="s">
        <v>45</v>
      </c>
    </row>
    <row r="18" spans="1:5" ht="15" x14ac:dyDescent="0.2">
      <c r="E18" s="12"/>
    </row>
    <row r="20" spans="1:5" ht="18" x14ac:dyDescent="0.25">
      <c r="A20" s="13" t="s">
        <v>46</v>
      </c>
      <c r="B20" s="13"/>
    </row>
    <row r="21" spans="1:5" ht="15" x14ac:dyDescent="0.2">
      <c r="A21" s="14" t="s">
        <v>47</v>
      </c>
      <c r="B21" s="14"/>
    </row>
    <row r="22" spans="1:5" ht="14.25" x14ac:dyDescent="0.2">
      <c r="A22" s="16"/>
      <c r="B22" s="17" t="s">
        <v>57</v>
      </c>
    </row>
    <row r="23" spans="1:5" ht="15" x14ac:dyDescent="0.2">
      <c r="A23" s="19" t="s">
        <v>49</v>
      </c>
      <c r="B23" s="19" t="s">
        <v>50</v>
      </c>
      <c r="C23" s="19" t="s">
        <v>51</v>
      </c>
      <c r="D23" s="19" t="s">
        <v>52</v>
      </c>
      <c r="E23" s="19" t="s">
        <v>53</v>
      </c>
    </row>
    <row r="24" spans="1:5" x14ac:dyDescent="0.2">
      <c r="A24" s="15" t="s">
        <v>244</v>
      </c>
      <c r="B24" s="4" t="s">
        <v>57</v>
      </c>
      <c r="C24" s="4" t="s">
        <v>83</v>
      </c>
      <c r="D24" s="4" t="s">
        <v>75</v>
      </c>
      <c r="E24" s="20" t="s">
        <v>249</v>
      </c>
    </row>
    <row r="26" spans="1:5" ht="14.25" x14ac:dyDescent="0.2">
      <c r="A26" s="16"/>
      <c r="B26" s="17" t="s">
        <v>101</v>
      </c>
    </row>
    <row r="27" spans="1:5" ht="15" x14ac:dyDescent="0.2">
      <c r="A27" s="19" t="s">
        <v>49</v>
      </c>
      <c r="B27" s="19" t="s">
        <v>50</v>
      </c>
      <c r="C27" s="19" t="s">
        <v>51</v>
      </c>
      <c r="D27" s="19" t="s">
        <v>52</v>
      </c>
      <c r="E27" s="19" t="s">
        <v>53</v>
      </c>
    </row>
    <row r="28" spans="1:5" x14ac:dyDescent="0.2">
      <c r="A28" s="15" t="s">
        <v>240</v>
      </c>
      <c r="B28" s="4" t="s">
        <v>250</v>
      </c>
      <c r="C28" s="4" t="s">
        <v>25</v>
      </c>
      <c r="D28" s="4" t="s">
        <v>26</v>
      </c>
      <c r="E28" s="20" t="s">
        <v>251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42578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1" t="s">
        <v>310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11</v>
      </c>
      <c r="H3" s="41"/>
      <c r="I3" s="41"/>
      <c r="J3" s="41"/>
      <c r="K3" s="41" t="s">
        <v>178</v>
      </c>
      <c r="L3" s="41" t="s">
        <v>3</v>
      </c>
      <c r="M3" s="27" t="s">
        <v>2</v>
      </c>
    </row>
    <row r="4" spans="1:13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28"/>
    </row>
    <row r="5" spans="1:13" ht="15" x14ac:dyDescent="0.2">
      <c r="A5" s="29" t="s">
        <v>179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2">
      <c r="A6" s="6" t="s">
        <v>181</v>
      </c>
      <c r="B6" s="6" t="s">
        <v>182</v>
      </c>
      <c r="C6" s="6" t="s">
        <v>183</v>
      </c>
      <c r="D6" s="6" t="str">
        <f>"0,8529"</f>
        <v>0,8529</v>
      </c>
      <c r="E6" s="6" t="s">
        <v>18</v>
      </c>
      <c r="F6" s="6" t="s">
        <v>19</v>
      </c>
      <c r="G6" s="7" t="s">
        <v>184</v>
      </c>
      <c r="H6" s="7" t="s">
        <v>110</v>
      </c>
      <c r="I6" s="7" t="s">
        <v>111</v>
      </c>
      <c r="J6" s="8"/>
      <c r="K6" s="6" t="str">
        <f>"75,0"</f>
        <v>75,0</v>
      </c>
      <c r="L6" s="7" t="str">
        <f>"63,9675"</f>
        <v>63,9675</v>
      </c>
      <c r="M6" s="6" t="s">
        <v>27</v>
      </c>
    </row>
    <row r="7" spans="1:13" x14ac:dyDescent="0.2">
      <c r="A7" s="9" t="s">
        <v>186</v>
      </c>
      <c r="B7" s="9" t="s">
        <v>187</v>
      </c>
      <c r="C7" s="9" t="s">
        <v>183</v>
      </c>
      <c r="D7" s="9" t="str">
        <f>"0,8529"</f>
        <v>0,8529</v>
      </c>
      <c r="E7" s="9" t="s">
        <v>18</v>
      </c>
      <c r="F7" s="9" t="s">
        <v>19</v>
      </c>
      <c r="G7" s="10" t="s">
        <v>24</v>
      </c>
      <c r="H7" s="11" t="s">
        <v>25</v>
      </c>
      <c r="I7" s="11" t="s">
        <v>25</v>
      </c>
      <c r="J7" s="11"/>
      <c r="K7" s="9" t="str">
        <f>"95,0"</f>
        <v>95,0</v>
      </c>
      <c r="L7" s="10" t="str">
        <f>"81,0255"</f>
        <v>81,0255</v>
      </c>
      <c r="M7" s="9" t="s">
        <v>27</v>
      </c>
    </row>
    <row r="9" spans="1:13" ht="15" x14ac:dyDescent="0.2">
      <c r="A9" s="30" t="s">
        <v>188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3" x14ac:dyDescent="0.2">
      <c r="A10" s="18" t="s">
        <v>190</v>
      </c>
      <c r="B10" s="18" t="s">
        <v>191</v>
      </c>
      <c r="C10" s="18" t="s">
        <v>192</v>
      </c>
      <c r="D10" s="18" t="str">
        <f>"0,7719"</f>
        <v>0,7719</v>
      </c>
      <c r="E10" s="18" t="s">
        <v>18</v>
      </c>
      <c r="F10" s="18" t="s">
        <v>90</v>
      </c>
      <c r="G10" s="22" t="s">
        <v>193</v>
      </c>
      <c r="H10" s="22" t="s">
        <v>37</v>
      </c>
      <c r="I10" s="21" t="s">
        <v>38</v>
      </c>
      <c r="J10" s="21"/>
      <c r="K10" s="18" t="str">
        <f>"165,0"</f>
        <v>165,0</v>
      </c>
      <c r="L10" s="22" t="str">
        <f>"127,3635"</f>
        <v>127,3635</v>
      </c>
      <c r="M10" s="18" t="s">
        <v>27</v>
      </c>
    </row>
    <row r="12" spans="1:13" ht="15" x14ac:dyDescent="0.2">
      <c r="A12" s="30" t="s">
        <v>114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3" x14ac:dyDescent="0.2">
      <c r="A13" s="18" t="s">
        <v>194</v>
      </c>
      <c r="B13" s="18" t="s">
        <v>195</v>
      </c>
      <c r="C13" s="18" t="s">
        <v>196</v>
      </c>
      <c r="D13" s="18" t="str">
        <f>"0,7330"</f>
        <v>0,7330</v>
      </c>
      <c r="E13" s="18" t="s">
        <v>18</v>
      </c>
      <c r="F13" s="18" t="s">
        <v>197</v>
      </c>
      <c r="G13" s="21" t="s">
        <v>198</v>
      </c>
      <c r="H13" s="21" t="s">
        <v>198</v>
      </c>
      <c r="I13" s="21" t="s">
        <v>198</v>
      </c>
      <c r="J13" s="21"/>
      <c r="K13" s="18" t="str">
        <f>"0.00"</f>
        <v>0.00</v>
      </c>
      <c r="L13" s="22" t="str">
        <f>"0,0000"</f>
        <v>0,0000</v>
      </c>
      <c r="M13" s="18" t="s">
        <v>27</v>
      </c>
    </row>
    <row r="15" spans="1:13" ht="15" x14ac:dyDescent="0.2">
      <c r="A15" s="30" t="s">
        <v>60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3" x14ac:dyDescent="0.2">
      <c r="A16" s="18" t="s">
        <v>200</v>
      </c>
      <c r="B16" s="18" t="s">
        <v>201</v>
      </c>
      <c r="C16" s="18" t="s">
        <v>202</v>
      </c>
      <c r="D16" s="18" t="str">
        <f>"0,6849"</f>
        <v>0,6849</v>
      </c>
      <c r="E16" s="18" t="s">
        <v>18</v>
      </c>
      <c r="F16" s="18" t="s">
        <v>19</v>
      </c>
      <c r="G16" s="21" t="s">
        <v>151</v>
      </c>
      <c r="H16" s="22" t="s">
        <v>151</v>
      </c>
      <c r="I16" s="22" t="s">
        <v>112</v>
      </c>
      <c r="J16" s="21"/>
      <c r="K16" s="18" t="str">
        <f>"130,0"</f>
        <v>130,0</v>
      </c>
      <c r="L16" s="22" t="str">
        <f>"89,0370"</f>
        <v>89,0370</v>
      </c>
      <c r="M16" s="18" t="s">
        <v>27</v>
      </c>
    </row>
    <row r="18" spans="1:13" ht="15" x14ac:dyDescent="0.2">
      <c r="A18" s="30" t="s">
        <v>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3" x14ac:dyDescent="0.2">
      <c r="A19" s="6" t="s">
        <v>204</v>
      </c>
      <c r="B19" s="6" t="s">
        <v>205</v>
      </c>
      <c r="C19" s="6" t="s">
        <v>31</v>
      </c>
      <c r="D19" s="6" t="str">
        <f>"0,6384"</f>
        <v>0,6384</v>
      </c>
      <c r="E19" s="6" t="s">
        <v>18</v>
      </c>
      <c r="F19" s="6" t="s">
        <v>64</v>
      </c>
      <c r="G19" s="7" t="s">
        <v>206</v>
      </c>
      <c r="H19" s="8" t="s">
        <v>113</v>
      </c>
      <c r="I19" s="8" t="s">
        <v>113</v>
      </c>
      <c r="J19" s="8"/>
      <c r="K19" s="6" t="str">
        <f>"135,0"</f>
        <v>135,0</v>
      </c>
      <c r="L19" s="7" t="str">
        <f>"86,1840"</f>
        <v>86,1840</v>
      </c>
      <c r="M19" s="6" t="s">
        <v>27</v>
      </c>
    </row>
    <row r="20" spans="1:13" x14ac:dyDescent="0.2">
      <c r="A20" s="9" t="s">
        <v>208</v>
      </c>
      <c r="B20" s="9" t="s">
        <v>209</v>
      </c>
      <c r="C20" s="9" t="s">
        <v>210</v>
      </c>
      <c r="D20" s="9" t="str">
        <f>"0,6444"</f>
        <v>0,6444</v>
      </c>
      <c r="E20" s="9" t="s">
        <v>18</v>
      </c>
      <c r="F20" s="9" t="s">
        <v>19</v>
      </c>
      <c r="G20" s="10" t="s">
        <v>113</v>
      </c>
      <c r="H20" s="10" t="s">
        <v>20</v>
      </c>
      <c r="I20" s="11" t="s">
        <v>36</v>
      </c>
      <c r="J20" s="11"/>
      <c r="K20" s="9" t="str">
        <f>"150,0"</f>
        <v>150,0</v>
      </c>
      <c r="L20" s="10" t="str">
        <f>"96,6600"</f>
        <v>96,6600</v>
      </c>
      <c r="M20" s="9" t="s">
        <v>27</v>
      </c>
    </row>
    <row r="22" spans="1:13" ht="15" x14ac:dyDescent="0.2">
      <c r="A22" s="30" t="s">
        <v>120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3" x14ac:dyDescent="0.2">
      <c r="A23" s="6" t="s">
        <v>212</v>
      </c>
      <c r="B23" s="6" t="s">
        <v>213</v>
      </c>
      <c r="C23" s="6" t="s">
        <v>214</v>
      </c>
      <c r="D23" s="6" t="str">
        <f>"0,6260"</f>
        <v>0,6260</v>
      </c>
      <c r="E23" s="6" t="s">
        <v>18</v>
      </c>
      <c r="F23" s="6" t="s">
        <v>19</v>
      </c>
      <c r="G23" s="7" t="s">
        <v>36</v>
      </c>
      <c r="H23" s="7" t="s">
        <v>119</v>
      </c>
      <c r="I23" s="7" t="s">
        <v>37</v>
      </c>
      <c r="J23" s="8"/>
      <c r="K23" s="6" t="str">
        <f>"165,0"</f>
        <v>165,0</v>
      </c>
      <c r="L23" s="7" t="str">
        <f>"103,2900"</f>
        <v>103,2900</v>
      </c>
      <c r="M23" s="6" t="s">
        <v>27</v>
      </c>
    </row>
    <row r="24" spans="1:13" x14ac:dyDescent="0.2">
      <c r="A24" s="23" t="s">
        <v>216</v>
      </c>
      <c r="B24" s="23" t="s">
        <v>217</v>
      </c>
      <c r="C24" s="23" t="s">
        <v>218</v>
      </c>
      <c r="D24" s="23" t="str">
        <f>"0,6161"</f>
        <v>0,6161</v>
      </c>
      <c r="E24" s="23" t="s">
        <v>18</v>
      </c>
      <c r="F24" s="23" t="s">
        <v>219</v>
      </c>
      <c r="G24" s="24" t="s">
        <v>73</v>
      </c>
      <c r="H24" s="24" t="s">
        <v>36</v>
      </c>
      <c r="I24" s="24" t="s">
        <v>37</v>
      </c>
      <c r="J24" s="25"/>
      <c r="K24" s="23" t="str">
        <f>"165,0"</f>
        <v>165,0</v>
      </c>
      <c r="L24" s="24" t="str">
        <f>"101,6565"</f>
        <v>101,6565</v>
      </c>
      <c r="M24" s="23" t="s">
        <v>27</v>
      </c>
    </row>
    <row r="25" spans="1:13" x14ac:dyDescent="0.2">
      <c r="A25" s="9" t="s">
        <v>221</v>
      </c>
      <c r="B25" s="9" t="s">
        <v>222</v>
      </c>
      <c r="C25" s="9" t="s">
        <v>223</v>
      </c>
      <c r="D25" s="9" t="str">
        <f>"0,6147"</f>
        <v>0,6147</v>
      </c>
      <c r="E25" s="9" t="s">
        <v>18</v>
      </c>
      <c r="F25" s="9" t="s">
        <v>19</v>
      </c>
      <c r="G25" s="10" t="s">
        <v>36</v>
      </c>
      <c r="H25" s="11" t="s">
        <v>119</v>
      </c>
      <c r="I25" s="11" t="s">
        <v>119</v>
      </c>
      <c r="J25" s="11"/>
      <c r="K25" s="9" t="str">
        <f>"155,0"</f>
        <v>155,0</v>
      </c>
      <c r="L25" s="10" t="str">
        <f>"103,0913"</f>
        <v>103,0913</v>
      </c>
      <c r="M25" s="9" t="s">
        <v>27</v>
      </c>
    </row>
    <row r="27" spans="1:13" ht="15" x14ac:dyDescent="0.2">
      <c r="A27" s="30" t="s">
        <v>76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3" x14ac:dyDescent="0.2">
      <c r="A28" s="18" t="s">
        <v>225</v>
      </c>
      <c r="B28" s="18" t="s">
        <v>226</v>
      </c>
      <c r="C28" s="18" t="s">
        <v>227</v>
      </c>
      <c r="D28" s="18" t="str">
        <f>"0,5928"</f>
        <v>0,5928</v>
      </c>
      <c r="E28" s="18" t="s">
        <v>18</v>
      </c>
      <c r="F28" s="18" t="s">
        <v>197</v>
      </c>
      <c r="G28" s="22" t="s">
        <v>73</v>
      </c>
      <c r="H28" s="22" t="s">
        <v>20</v>
      </c>
      <c r="I28" s="21" t="s">
        <v>36</v>
      </c>
      <c r="J28" s="21"/>
      <c r="K28" s="18" t="str">
        <f>"150,0"</f>
        <v>150,0</v>
      </c>
      <c r="L28" s="22" t="str">
        <f>"88,9200"</f>
        <v>88,9200</v>
      </c>
      <c r="M28" s="18" t="s">
        <v>27</v>
      </c>
    </row>
    <row r="30" spans="1:13" ht="15" x14ac:dyDescent="0.2">
      <c r="E30" s="12" t="s">
        <v>41</v>
      </c>
    </row>
    <row r="31" spans="1:13" ht="15" x14ac:dyDescent="0.2">
      <c r="E31" s="12" t="s">
        <v>42</v>
      </c>
    </row>
    <row r="32" spans="1:13" ht="15" x14ac:dyDescent="0.2">
      <c r="E32" s="12" t="s">
        <v>43</v>
      </c>
    </row>
    <row r="33" spans="1:5" ht="15" x14ac:dyDescent="0.2">
      <c r="E33" s="12" t="s">
        <v>44</v>
      </c>
    </row>
    <row r="34" spans="1:5" ht="15" x14ac:dyDescent="0.2">
      <c r="E34" s="12" t="s">
        <v>44</v>
      </c>
    </row>
    <row r="35" spans="1:5" ht="15" x14ac:dyDescent="0.2">
      <c r="E35" s="12" t="s">
        <v>45</v>
      </c>
    </row>
    <row r="36" spans="1:5" ht="15" x14ac:dyDescent="0.2">
      <c r="E36" s="12"/>
    </row>
    <row r="38" spans="1:5" ht="18" x14ac:dyDescent="0.25">
      <c r="A38" s="13" t="s">
        <v>46</v>
      </c>
      <c r="B38" s="13"/>
    </row>
    <row r="39" spans="1:5" ht="15" x14ac:dyDescent="0.2">
      <c r="A39" s="14" t="s">
        <v>47</v>
      </c>
      <c r="B39" s="14"/>
    </row>
    <row r="40" spans="1:5" ht="14.25" x14ac:dyDescent="0.2">
      <c r="A40" s="16"/>
      <c r="B40" s="17" t="s">
        <v>48</v>
      </c>
    </row>
    <row r="41" spans="1:5" ht="15" x14ac:dyDescent="0.2">
      <c r="A41" s="19" t="s">
        <v>49</v>
      </c>
      <c r="B41" s="19" t="s">
        <v>50</v>
      </c>
      <c r="C41" s="19" t="s">
        <v>51</v>
      </c>
      <c r="D41" s="19" t="s">
        <v>52</v>
      </c>
      <c r="E41" s="19" t="s">
        <v>53</v>
      </c>
    </row>
    <row r="42" spans="1:5" x14ac:dyDescent="0.2">
      <c r="A42" s="15" t="s">
        <v>199</v>
      </c>
      <c r="B42" s="4" t="s">
        <v>54</v>
      </c>
      <c r="C42" s="4" t="s">
        <v>140</v>
      </c>
      <c r="D42" s="4" t="s">
        <v>112</v>
      </c>
      <c r="E42" s="20" t="s">
        <v>228</v>
      </c>
    </row>
    <row r="43" spans="1:5" x14ac:dyDescent="0.2">
      <c r="A43" s="15" t="s">
        <v>185</v>
      </c>
      <c r="B43" s="4" t="s">
        <v>54</v>
      </c>
      <c r="C43" s="4" t="s">
        <v>229</v>
      </c>
      <c r="D43" s="4" t="s">
        <v>24</v>
      </c>
      <c r="E43" s="20" t="s">
        <v>230</v>
      </c>
    </row>
    <row r="44" spans="1:5" x14ac:dyDescent="0.2">
      <c r="A44" s="15" t="s">
        <v>180</v>
      </c>
      <c r="B44" s="4" t="s">
        <v>231</v>
      </c>
      <c r="C44" s="4" t="s">
        <v>229</v>
      </c>
      <c r="D44" s="4" t="s">
        <v>111</v>
      </c>
      <c r="E44" s="20" t="s">
        <v>232</v>
      </c>
    </row>
    <row r="46" spans="1:5" ht="14.25" x14ac:dyDescent="0.2">
      <c r="A46" s="16"/>
      <c r="B46" s="17" t="s">
        <v>143</v>
      </c>
    </row>
    <row r="47" spans="1:5" ht="15" x14ac:dyDescent="0.2">
      <c r="A47" s="19" t="s">
        <v>49</v>
      </c>
      <c r="B47" s="19" t="s">
        <v>50</v>
      </c>
      <c r="C47" s="19" t="s">
        <v>51</v>
      </c>
      <c r="D47" s="19" t="s">
        <v>52</v>
      </c>
      <c r="E47" s="19" t="s">
        <v>53</v>
      </c>
    </row>
    <row r="48" spans="1:5" x14ac:dyDescent="0.2">
      <c r="A48" s="15" t="s">
        <v>203</v>
      </c>
      <c r="B48" s="4" t="s">
        <v>144</v>
      </c>
      <c r="C48" s="4" t="s">
        <v>23</v>
      </c>
      <c r="D48" s="4" t="s">
        <v>206</v>
      </c>
      <c r="E48" s="20" t="s">
        <v>233</v>
      </c>
    </row>
    <row r="50" spans="1:5" ht="14.25" x14ac:dyDescent="0.2">
      <c r="A50" s="16"/>
      <c r="B50" s="17" t="s">
        <v>57</v>
      </c>
    </row>
    <row r="51" spans="1:5" ht="15" x14ac:dyDescent="0.2">
      <c r="A51" s="19" t="s">
        <v>49</v>
      </c>
      <c r="B51" s="19" t="s">
        <v>50</v>
      </c>
      <c r="C51" s="19" t="s">
        <v>51</v>
      </c>
      <c r="D51" s="19" t="s">
        <v>52</v>
      </c>
      <c r="E51" s="19" t="s">
        <v>53</v>
      </c>
    </row>
    <row r="52" spans="1:5" x14ac:dyDescent="0.2">
      <c r="A52" s="15" t="s">
        <v>189</v>
      </c>
      <c r="B52" s="4" t="s">
        <v>57</v>
      </c>
      <c r="C52" s="4" t="s">
        <v>184</v>
      </c>
      <c r="D52" s="4" t="s">
        <v>37</v>
      </c>
      <c r="E52" s="20" t="s">
        <v>234</v>
      </c>
    </row>
    <row r="53" spans="1:5" x14ac:dyDescent="0.2">
      <c r="A53" s="15" t="s">
        <v>211</v>
      </c>
      <c r="B53" s="4" t="s">
        <v>57</v>
      </c>
      <c r="C53" s="4" t="s">
        <v>25</v>
      </c>
      <c r="D53" s="4" t="s">
        <v>37</v>
      </c>
      <c r="E53" s="20" t="s">
        <v>235</v>
      </c>
    </row>
    <row r="54" spans="1:5" x14ac:dyDescent="0.2">
      <c r="A54" s="15" t="s">
        <v>215</v>
      </c>
      <c r="B54" s="4" t="s">
        <v>57</v>
      </c>
      <c r="C54" s="4" t="s">
        <v>25</v>
      </c>
      <c r="D54" s="4" t="s">
        <v>37</v>
      </c>
      <c r="E54" s="20" t="s">
        <v>236</v>
      </c>
    </row>
    <row r="55" spans="1:5" x14ac:dyDescent="0.2">
      <c r="A55" s="15" t="s">
        <v>207</v>
      </c>
      <c r="B55" s="4" t="s">
        <v>57</v>
      </c>
      <c r="C55" s="4" t="s">
        <v>23</v>
      </c>
      <c r="D55" s="4" t="s">
        <v>20</v>
      </c>
      <c r="E55" s="20" t="s">
        <v>237</v>
      </c>
    </row>
    <row r="56" spans="1:5" x14ac:dyDescent="0.2">
      <c r="A56" s="15" t="s">
        <v>224</v>
      </c>
      <c r="B56" s="4" t="s">
        <v>57</v>
      </c>
      <c r="C56" s="4" t="s">
        <v>83</v>
      </c>
      <c r="D56" s="4" t="s">
        <v>20</v>
      </c>
      <c r="E56" s="20" t="s">
        <v>238</v>
      </c>
    </row>
    <row r="58" spans="1:5" ht="14.25" x14ac:dyDescent="0.2">
      <c r="A58" s="16"/>
      <c r="B58" s="17" t="s">
        <v>101</v>
      </c>
    </row>
    <row r="59" spans="1:5" ht="15" x14ac:dyDescent="0.2">
      <c r="A59" s="19" t="s">
        <v>49</v>
      </c>
      <c r="B59" s="19" t="s">
        <v>50</v>
      </c>
      <c r="C59" s="19" t="s">
        <v>51</v>
      </c>
      <c r="D59" s="19" t="s">
        <v>52</v>
      </c>
      <c r="E59" s="19" t="s">
        <v>53</v>
      </c>
    </row>
    <row r="60" spans="1:5" x14ac:dyDescent="0.2">
      <c r="A60" s="15" t="s">
        <v>220</v>
      </c>
      <c r="B60" s="4" t="s">
        <v>176</v>
      </c>
      <c r="C60" s="4" t="s">
        <v>25</v>
      </c>
      <c r="D60" s="4" t="s">
        <v>36</v>
      </c>
      <c r="E60" s="20" t="s">
        <v>239</v>
      </c>
    </row>
  </sheetData>
  <mergeCells count="18">
    <mergeCell ref="A15:L15"/>
    <mergeCell ref="A18:L18"/>
    <mergeCell ref="A22:L22"/>
    <mergeCell ref="A27:L27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6.42578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1" t="s">
        <v>311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11</v>
      </c>
      <c r="H3" s="41"/>
      <c r="I3" s="41"/>
      <c r="J3" s="41"/>
      <c r="K3" s="41" t="s">
        <v>178</v>
      </c>
      <c r="L3" s="41" t="s">
        <v>3</v>
      </c>
      <c r="M3" s="27" t="s">
        <v>2</v>
      </c>
    </row>
    <row r="4" spans="1:13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28"/>
    </row>
    <row r="5" spans="1:13" ht="15" x14ac:dyDescent="0.2">
      <c r="A5" s="29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2">
      <c r="A6" s="18" t="s">
        <v>155</v>
      </c>
      <c r="B6" s="18" t="s">
        <v>156</v>
      </c>
      <c r="C6" s="18" t="s">
        <v>157</v>
      </c>
      <c r="D6" s="18" t="str">
        <f>"0,6785"</f>
        <v>0,6785</v>
      </c>
      <c r="E6" s="18" t="s">
        <v>18</v>
      </c>
      <c r="F6" s="18" t="s">
        <v>158</v>
      </c>
      <c r="G6" s="22" t="s">
        <v>113</v>
      </c>
      <c r="H6" s="22" t="s">
        <v>73</v>
      </c>
      <c r="I6" s="22" t="s">
        <v>36</v>
      </c>
      <c r="J6" s="21"/>
      <c r="K6" s="18" t="str">
        <f>"155,0"</f>
        <v>155,0</v>
      </c>
      <c r="L6" s="22" t="str">
        <f>"105,1675"</f>
        <v>105,1675</v>
      </c>
      <c r="M6" s="18" t="s">
        <v>27</v>
      </c>
    </row>
    <row r="8" spans="1:13" ht="15" x14ac:dyDescent="0.2">
      <c r="A8" s="30" t="s">
        <v>13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x14ac:dyDescent="0.2">
      <c r="A9" s="6" t="s">
        <v>160</v>
      </c>
      <c r="B9" s="6" t="s">
        <v>161</v>
      </c>
      <c r="C9" s="6" t="s">
        <v>162</v>
      </c>
      <c r="D9" s="6" t="str">
        <f>"0,6440"</f>
        <v>0,6440</v>
      </c>
      <c r="E9" s="6" t="s">
        <v>18</v>
      </c>
      <c r="F9" s="6" t="s">
        <v>163</v>
      </c>
      <c r="G9" s="7" t="s">
        <v>81</v>
      </c>
      <c r="H9" s="7" t="s">
        <v>85</v>
      </c>
      <c r="I9" s="7" t="s">
        <v>164</v>
      </c>
      <c r="J9" s="8"/>
      <c r="K9" s="6" t="str">
        <f>"205,0"</f>
        <v>205,0</v>
      </c>
      <c r="L9" s="7" t="str">
        <f>"132,0200"</f>
        <v>132,0200</v>
      </c>
      <c r="M9" s="6" t="s">
        <v>27</v>
      </c>
    </row>
    <row r="10" spans="1:13" x14ac:dyDescent="0.2">
      <c r="A10" s="9" t="s">
        <v>165</v>
      </c>
      <c r="B10" s="9" t="s">
        <v>166</v>
      </c>
      <c r="C10" s="9" t="s">
        <v>167</v>
      </c>
      <c r="D10" s="9" t="str">
        <f>"0,6428"</f>
        <v>0,6428</v>
      </c>
      <c r="E10" s="9" t="s">
        <v>18</v>
      </c>
      <c r="F10" s="9" t="s">
        <v>64</v>
      </c>
      <c r="G10" s="11" t="s">
        <v>36</v>
      </c>
      <c r="H10" s="11" t="s">
        <v>36</v>
      </c>
      <c r="I10" s="11" t="s">
        <v>36</v>
      </c>
      <c r="J10" s="11"/>
      <c r="K10" s="9" t="str">
        <f>"0.00"</f>
        <v>0.00</v>
      </c>
      <c r="L10" s="10" t="str">
        <f>"0,0000"</f>
        <v>0,0000</v>
      </c>
      <c r="M10" s="9" t="s">
        <v>27</v>
      </c>
    </row>
    <row r="12" spans="1:13" ht="15" x14ac:dyDescent="0.2">
      <c r="A12" s="30" t="s">
        <v>132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3" x14ac:dyDescent="0.2">
      <c r="A13" s="18" t="s">
        <v>169</v>
      </c>
      <c r="B13" s="18" t="s">
        <v>170</v>
      </c>
      <c r="C13" s="18" t="s">
        <v>171</v>
      </c>
      <c r="D13" s="18" t="str">
        <f>"0,5811"</f>
        <v>0,5811</v>
      </c>
      <c r="E13" s="18" t="s">
        <v>18</v>
      </c>
      <c r="F13" s="18" t="s">
        <v>172</v>
      </c>
      <c r="G13" s="22" t="s">
        <v>20</v>
      </c>
      <c r="H13" s="22" t="s">
        <v>37</v>
      </c>
      <c r="I13" s="21" t="s">
        <v>173</v>
      </c>
      <c r="J13" s="21"/>
      <c r="K13" s="18" t="str">
        <f>"165,0"</f>
        <v>165,0</v>
      </c>
      <c r="L13" s="22" t="str">
        <f>"101,1550"</f>
        <v>101,1550</v>
      </c>
      <c r="M13" s="18" t="s">
        <v>27</v>
      </c>
    </row>
    <row r="15" spans="1:13" ht="15" x14ac:dyDescent="0.2">
      <c r="E15" s="12" t="s">
        <v>41</v>
      </c>
    </row>
    <row r="16" spans="1:13" ht="15" x14ac:dyDescent="0.2">
      <c r="E16" s="12" t="s">
        <v>42</v>
      </c>
    </row>
    <row r="17" spans="1:5" ht="15" x14ac:dyDescent="0.2">
      <c r="E17" s="12" t="s">
        <v>43</v>
      </c>
    </row>
    <row r="18" spans="1:5" ht="15" x14ac:dyDescent="0.2">
      <c r="E18" s="12" t="s">
        <v>44</v>
      </c>
    </row>
    <row r="19" spans="1:5" ht="15" x14ac:dyDescent="0.2">
      <c r="E19" s="12" t="s">
        <v>44</v>
      </c>
    </row>
    <row r="20" spans="1:5" ht="15" x14ac:dyDescent="0.2">
      <c r="E20" s="12" t="s">
        <v>45</v>
      </c>
    </row>
    <row r="21" spans="1:5" ht="15" x14ac:dyDescent="0.2">
      <c r="E21" s="12"/>
    </row>
    <row r="23" spans="1:5" ht="18" x14ac:dyDescent="0.25">
      <c r="A23" s="13" t="s">
        <v>46</v>
      </c>
      <c r="B23" s="13"/>
    </row>
    <row r="24" spans="1:5" ht="15" x14ac:dyDescent="0.2">
      <c r="A24" s="14" t="s">
        <v>47</v>
      </c>
      <c r="B24" s="14"/>
    </row>
    <row r="25" spans="1:5" ht="14.25" x14ac:dyDescent="0.2">
      <c r="A25" s="16"/>
      <c r="B25" s="17" t="s">
        <v>57</v>
      </c>
    </row>
    <row r="26" spans="1:5" ht="15" x14ac:dyDescent="0.2">
      <c r="A26" s="19" t="s">
        <v>49</v>
      </c>
      <c r="B26" s="19" t="s">
        <v>50</v>
      </c>
      <c r="C26" s="19" t="s">
        <v>51</v>
      </c>
      <c r="D26" s="19" t="s">
        <v>52</v>
      </c>
      <c r="E26" s="19" t="s">
        <v>53</v>
      </c>
    </row>
    <row r="27" spans="1:5" x14ac:dyDescent="0.2">
      <c r="A27" s="15" t="s">
        <v>159</v>
      </c>
      <c r="B27" s="4" t="s">
        <v>57</v>
      </c>
      <c r="C27" s="4" t="s">
        <v>23</v>
      </c>
      <c r="D27" s="4" t="s">
        <v>164</v>
      </c>
      <c r="E27" s="20" t="s">
        <v>174</v>
      </c>
    </row>
    <row r="28" spans="1:5" x14ac:dyDescent="0.2">
      <c r="A28" s="15" t="s">
        <v>154</v>
      </c>
      <c r="B28" s="4" t="s">
        <v>57</v>
      </c>
      <c r="C28" s="4" t="s">
        <v>140</v>
      </c>
      <c r="D28" s="4" t="s">
        <v>36</v>
      </c>
      <c r="E28" s="20" t="s">
        <v>175</v>
      </c>
    </row>
    <row r="30" spans="1:5" ht="14.25" x14ac:dyDescent="0.2">
      <c r="A30" s="16"/>
      <c r="B30" s="17" t="s">
        <v>101</v>
      </c>
    </row>
    <row r="31" spans="1:5" ht="15" x14ac:dyDescent="0.2">
      <c r="A31" s="19" t="s">
        <v>49</v>
      </c>
      <c r="B31" s="19" t="s">
        <v>50</v>
      </c>
      <c r="C31" s="19" t="s">
        <v>51</v>
      </c>
      <c r="D31" s="19" t="s">
        <v>52</v>
      </c>
      <c r="E31" s="19" t="s">
        <v>53</v>
      </c>
    </row>
    <row r="32" spans="1:5" x14ac:dyDescent="0.2">
      <c r="A32" s="15" t="s">
        <v>168</v>
      </c>
      <c r="B32" s="4" t="s">
        <v>176</v>
      </c>
      <c r="C32" s="4" t="s">
        <v>151</v>
      </c>
      <c r="D32" s="4" t="s">
        <v>37</v>
      </c>
      <c r="E32" s="20" t="s">
        <v>177</v>
      </c>
    </row>
  </sheetData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1" t="s">
        <v>312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10</v>
      </c>
      <c r="H3" s="41"/>
      <c r="I3" s="41"/>
      <c r="J3" s="41"/>
      <c r="K3" s="41" t="s">
        <v>11</v>
      </c>
      <c r="L3" s="41"/>
      <c r="M3" s="41"/>
      <c r="N3" s="41"/>
      <c r="O3" s="41" t="s">
        <v>12</v>
      </c>
      <c r="P3" s="41"/>
      <c r="Q3" s="41"/>
      <c r="R3" s="41"/>
      <c r="S3" s="41" t="s">
        <v>1</v>
      </c>
      <c r="T3" s="41" t="s">
        <v>3</v>
      </c>
      <c r="U3" s="27" t="s">
        <v>2</v>
      </c>
    </row>
    <row r="4" spans="1:21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28"/>
    </row>
    <row r="5" spans="1:21" ht="15" x14ac:dyDescent="0.2">
      <c r="A5" s="29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x14ac:dyDescent="0.2">
      <c r="A6" s="18" t="s">
        <v>105</v>
      </c>
      <c r="B6" s="18" t="s">
        <v>106</v>
      </c>
      <c r="C6" s="18" t="s">
        <v>107</v>
      </c>
      <c r="D6" s="18" t="str">
        <f>"0,9046"</f>
        <v>0,9046</v>
      </c>
      <c r="E6" s="18" t="s">
        <v>18</v>
      </c>
      <c r="F6" s="18" t="s">
        <v>19</v>
      </c>
      <c r="G6" s="22" t="s">
        <v>83</v>
      </c>
      <c r="H6" s="22" t="s">
        <v>108</v>
      </c>
      <c r="I6" s="21"/>
      <c r="J6" s="21"/>
      <c r="K6" s="22" t="s">
        <v>109</v>
      </c>
      <c r="L6" s="22" t="s">
        <v>110</v>
      </c>
      <c r="M6" s="22" t="s">
        <v>111</v>
      </c>
      <c r="N6" s="21"/>
      <c r="O6" s="22" t="s">
        <v>112</v>
      </c>
      <c r="P6" s="22" t="s">
        <v>113</v>
      </c>
      <c r="Q6" s="21" t="s">
        <v>20</v>
      </c>
      <c r="R6" s="21"/>
      <c r="S6" s="18" t="str">
        <f>"335,0"</f>
        <v>335,0</v>
      </c>
      <c r="T6" s="22" t="str">
        <f>"303,0410"</f>
        <v>303,0410</v>
      </c>
      <c r="U6" s="18" t="s">
        <v>27</v>
      </c>
    </row>
    <row r="8" spans="1:21" ht="15" x14ac:dyDescent="0.2">
      <c r="A8" s="30" t="s">
        <v>114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x14ac:dyDescent="0.2">
      <c r="A9" s="18" t="s">
        <v>116</v>
      </c>
      <c r="B9" s="18" t="s">
        <v>117</v>
      </c>
      <c r="C9" s="18" t="s">
        <v>118</v>
      </c>
      <c r="D9" s="18" t="str">
        <f>"0,7173"</f>
        <v>0,7173</v>
      </c>
      <c r="E9" s="18" t="s">
        <v>18</v>
      </c>
      <c r="F9" s="18" t="s">
        <v>90</v>
      </c>
      <c r="G9" s="22" t="s">
        <v>73</v>
      </c>
      <c r="H9" s="22" t="s">
        <v>21</v>
      </c>
      <c r="I9" s="21" t="s">
        <v>37</v>
      </c>
      <c r="J9" s="21"/>
      <c r="K9" s="22" t="s">
        <v>83</v>
      </c>
      <c r="L9" s="21" t="s">
        <v>84</v>
      </c>
      <c r="M9" s="21" t="s">
        <v>66</v>
      </c>
      <c r="N9" s="21"/>
      <c r="O9" s="22" t="s">
        <v>20</v>
      </c>
      <c r="P9" s="22" t="s">
        <v>119</v>
      </c>
      <c r="Q9" s="22" t="s">
        <v>38</v>
      </c>
      <c r="R9" s="21"/>
      <c r="S9" s="18" t="str">
        <f>"437,5"</f>
        <v>437,5</v>
      </c>
      <c r="T9" s="22" t="str">
        <f>"313,8187"</f>
        <v>313,8187</v>
      </c>
      <c r="U9" s="18" t="s">
        <v>27</v>
      </c>
    </row>
    <row r="11" spans="1:21" ht="15" x14ac:dyDescent="0.2">
      <c r="A11" s="30" t="s">
        <v>120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1" x14ac:dyDescent="0.2">
      <c r="A12" s="18" t="s">
        <v>122</v>
      </c>
      <c r="B12" s="18" t="s">
        <v>123</v>
      </c>
      <c r="C12" s="18" t="s">
        <v>124</v>
      </c>
      <c r="D12" s="18" t="str">
        <f>"0,6244"</f>
        <v>0,6244</v>
      </c>
      <c r="E12" s="18" t="s">
        <v>18</v>
      </c>
      <c r="F12" s="18" t="s">
        <v>64</v>
      </c>
      <c r="G12" s="22" t="s">
        <v>81</v>
      </c>
      <c r="H12" s="22" t="s">
        <v>85</v>
      </c>
      <c r="I12" s="21" t="s">
        <v>65</v>
      </c>
      <c r="J12" s="21"/>
      <c r="K12" s="22" t="s">
        <v>108</v>
      </c>
      <c r="L12" s="22" t="s">
        <v>125</v>
      </c>
      <c r="M12" s="21" t="s">
        <v>126</v>
      </c>
      <c r="N12" s="21"/>
      <c r="O12" s="22" t="s">
        <v>85</v>
      </c>
      <c r="P12" s="21" t="s">
        <v>65</v>
      </c>
      <c r="Q12" s="21" t="s">
        <v>65</v>
      </c>
      <c r="R12" s="21"/>
      <c r="S12" s="18" t="str">
        <f>"527,5"</f>
        <v>527,5</v>
      </c>
      <c r="T12" s="22" t="str">
        <f>"329,3710"</f>
        <v>329,3710</v>
      </c>
      <c r="U12" s="18" t="s">
        <v>27</v>
      </c>
    </row>
    <row r="14" spans="1:21" ht="15" x14ac:dyDescent="0.2">
      <c r="A14" s="30" t="s">
        <v>76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x14ac:dyDescent="0.2">
      <c r="A15" s="18" t="s">
        <v>128</v>
      </c>
      <c r="B15" s="18" t="s">
        <v>129</v>
      </c>
      <c r="C15" s="18" t="s">
        <v>130</v>
      </c>
      <c r="D15" s="18" t="str">
        <f>"0,6021"</f>
        <v>0,6021</v>
      </c>
      <c r="E15" s="18" t="s">
        <v>18</v>
      </c>
      <c r="F15" s="18" t="s">
        <v>64</v>
      </c>
      <c r="G15" s="22" t="s">
        <v>39</v>
      </c>
      <c r="H15" s="21" t="s">
        <v>40</v>
      </c>
      <c r="I15" s="22" t="s">
        <v>131</v>
      </c>
      <c r="J15" s="21"/>
      <c r="K15" s="21" t="s">
        <v>37</v>
      </c>
      <c r="L15" s="22" t="s">
        <v>37</v>
      </c>
      <c r="M15" s="21" t="s">
        <v>22</v>
      </c>
      <c r="N15" s="21"/>
      <c r="O15" s="22" t="s">
        <v>72</v>
      </c>
      <c r="P15" s="22" t="s">
        <v>74</v>
      </c>
      <c r="Q15" s="21" t="s">
        <v>39</v>
      </c>
      <c r="R15" s="21"/>
      <c r="S15" s="18" t="str">
        <f>"675,0"</f>
        <v>675,0</v>
      </c>
      <c r="T15" s="22" t="str">
        <f>"406,4175"</f>
        <v>406,4175</v>
      </c>
      <c r="U15" s="18" t="s">
        <v>27</v>
      </c>
    </row>
    <row r="17" spans="1:21" ht="15" x14ac:dyDescent="0.2">
      <c r="A17" s="30" t="s">
        <v>132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1" x14ac:dyDescent="0.2">
      <c r="A18" s="18" t="s">
        <v>134</v>
      </c>
      <c r="B18" s="18" t="s">
        <v>135</v>
      </c>
      <c r="C18" s="18" t="s">
        <v>136</v>
      </c>
      <c r="D18" s="18" t="str">
        <f>"0,5698"</f>
        <v>0,5698</v>
      </c>
      <c r="E18" s="18" t="s">
        <v>18</v>
      </c>
      <c r="F18" s="18" t="s">
        <v>90</v>
      </c>
      <c r="G18" s="21" t="s">
        <v>137</v>
      </c>
      <c r="H18" s="22" t="s">
        <v>137</v>
      </c>
      <c r="I18" s="21" t="s">
        <v>35</v>
      </c>
      <c r="J18" s="21"/>
      <c r="K18" s="22" t="s">
        <v>112</v>
      </c>
      <c r="L18" s="21" t="s">
        <v>73</v>
      </c>
      <c r="M18" s="21" t="s">
        <v>20</v>
      </c>
      <c r="N18" s="21"/>
      <c r="O18" s="22" t="s">
        <v>74</v>
      </c>
      <c r="P18" s="22" t="s">
        <v>138</v>
      </c>
      <c r="Q18" s="21" t="s">
        <v>75</v>
      </c>
      <c r="R18" s="21"/>
      <c r="S18" s="18" t="str">
        <f>"607,5"</f>
        <v>607,5</v>
      </c>
      <c r="T18" s="22" t="str">
        <f>"356,8843"</f>
        <v>356,8843</v>
      </c>
      <c r="U18" s="18" t="s">
        <v>27</v>
      </c>
    </row>
    <row r="20" spans="1:21" ht="15" x14ac:dyDescent="0.2">
      <c r="E20" s="12" t="s">
        <v>41</v>
      </c>
    </row>
    <row r="21" spans="1:21" ht="15" x14ac:dyDescent="0.2">
      <c r="E21" s="12" t="s">
        <v>42</v>
      </c>
    </row>
    <row r="22" spans="1:21" ht="15" x14ac:dyDescent="0.2">
      <c r="E22" s="12" t="s">
        <v>43</v>
      </c>
    </row>
    <row r="23" spans="1:21" ht="15" x14ac:dyDescent="0.2">
      <c r="E23" s="12" t="s">
        <v>44</v>
      </c>
    </row>
    <row r="24" spans="1:21" ht="15" x14ac:dyDescent="0.2">
      <c r="E24" s="12" t="s">
        <v>44</v>
      </c>
    </row>
    <row r="25" spans="1:21" ht="15" x14ac:dyDescent="0.2">
      <c r="E25" s="12" t="s">
        <v>45</v>
      </c>
    </row>
    <row r="26" spans="1:21" ht="15" x14ac:dyDescent="0.2">
      <c r="E26" s="12"/>
    </row>
    <row r="28" spans="1:21" ht="18" x14ac:dyDescent="0.25">
      <c r="A28" s="13" t="s">
        <v>46</v>
      </c>
      <c r="B28" s="13"/>
    </row>
    <row r="29" spans="1:21" ht="15" x14ac:dyDescent="0.2">
      <c r="A29" s="14" t="s">
        <v>139</v>
      </c>
      <c r="B29" s="14"/>
    </row>
    <row r="30" spans="1:21" ht="14.25" x14ac:dyDescent="0.2">
      <c r="A30" s="16"/>
      <c r="B30" s="17" t="s">
        <v>57</v>
      </c>
    </row>
    <row r="31" spans="1:21" ht="15" x14ac:dyDescent="0.2">
      <c r="A31" s="19" t="s">
        <v>49</v>
      </c>
      <c r="B31" s="19" t="s">
        <v>50</v>
      </c>
      <c r="C31" s="19" t="s">
        <v>51</v>
      </c>
      <c r="D31" s="19" t="s">
        <v>52</v>
      </c>
      <c r="E31" s="19" t="s">
        <v>53</v>
      </c>
    </row>
    <row r="32" spans="1:21" x14ac:dyDescent="0.2">
      <c r="A32" s="15" t="s">
        <v>104</v>
      </c>
      <c r="B32" s="4" t="s">
        <v>57</v>
      </c>
      <c r="C32" s="4" t="s">
        <v>140</v>
      </c>
      <c r="D32" s="4" t="s">
        <v>141</v>
      </c>
      <c r="E32" s="20" t="s">
        <v>142</v>
      </c>
    </row>
    <row r="35" spans="1:5" ht="15" x14ac:dyDescent="0.2">
      <c r="A35" s="14" t="s">
        <v>47</v>
      </c>
      <c r="B35" s="14"/>
    </row>
    <row r="36" spans="1:5" ht="14.25" x14ac:dyDescent="0.2">
      <c r="A36" s="16"/>
      <c r="B36" s="17" t="s">
        <v>143</v>
      </c>
    </row>
    <row r="37" spans="1:5" ht="15" x14ac:dyDescent="0.2">
      <c r="A37" s="19" t="s">
        <v>49</v>
      </c>
      <c r="B37" s="19" t="s">
        <v>50</v>
      </c>
      <c r="C37" s="19" t="s">
        <v>51</v>
      </c>
      <c r="D37" s="19" t="s">
        <v>52</v>
      </c>
      <c r="E37" s="19" t="s">
        <v>53</v>
      </c>
    </row>
    <row r="38" spans="1:5" x14ac:dyDescent="0.2">
      <c r="A38" s="15" t="s">
        <v>127</v>
      </c>
      <c r="B38" s="4" t="s">
        <v>144</v>
      </c>
      <c r="C38" s="4" t="s">
        <v>83</v>
      </c>
      <c r="D38" s="4" t="s">
        <v>145</v>
      </c>
      <c r="E38" s="20" t="s">
        <v>146</v>
      </c>
    </row>
    <row r="39" spans="1:5" x14ac:dyDescent="0.2">
      <c r="A39" s="15" t="s">
        <v>115</v>
      </c>
      <c r="B39" s="4" t="s">
        <v>144</v>
      </c>
      <c r="C39" s="4" t="s">
        <v>111</v>
      </c>
      <c r="D39" s="4" t="s">
        <v>147</v>
      </c>
      <c r="E39" s="20" t="s">
        <v>148</v>
      </c>
    </row>
    <row r="41" spans="1:5" ht="14.25" x14ac:dyDescent="0.2">
      <c r="A41" s="16"/>
      <c r="B41" s="17" t="s">
        <v>57</v>
      </c>
    </row>
    <row r="42" spans="1:5" ht="15" x14ac:dyDescent="0.2">
      <c r="A42" s="19" t="s">
        <v>49</v>
      </c>
      <c r="B42" s="19" t="s">
        <v>50</v>
      </c>
      <c r="C42" s="19" t="s">
        <v>51</v>
      </c>
      <c r="D42" s="19" t="s">
        <v>52</v>
      </c>
      <c r="E42" s="19" t="s">
        <v>53</v>
      </c>
    </row>
    <row r="43" spans="1:5" x14ac:dyDescent="0.2">
      <c r="A43" s="15" t="s">
        <v>121</v>
      </c>
      <c r="B43" s="4" t="s">
        <v>57</v>
      </c>
      <c r="C43" s="4" t="s">
        <v>25</v>
      </c>
      <c r="D43" s="4" t="s">
        <v>149</v>
      </c>
      <c r="E43" s="20" t="s">
        <v>150</v>
      </c>
    </row>
    <row r="45" spans="1:5" ht="14.25" x14ac:dyDescent="0.2">
      <c r="A45" s="16"/>
      <c r="B45" s="17" t="s">
        <v>101</v>
      </c>
    </row>
    <row r="46" spans="1:5" ht="15" x14ac:dyDescent="0.2">
      <c r="A46" s="19" t="s">
        <v>49</v>
      </c>
      <c r="B46" s="19" t="s">
        <v>50</v>
      </c>
      <c r="C46" s="19" t="s">
        <v>51</v>
      </c>
      <c r="D46" s="19" t="s">
        <v>52</v>
      </c>
      <c r="E46" s="19" t="s">
        <v>53</v>
      </c>
    </row>
    <row r="47" spans="1:5" x14ac:dyDescent="0.2">
      <c r="A47" s="15" t="s">
        <v>133</v>
      </c>
      <c r="B47" s="4" t="s">
        <v>102</v>
      </c>
      <c r="C47" s="4" t="s">
        <v>151</v>
      </c>
      <c r="D47" s="4" t="s">
        <v>152</v>
      </c>
      <c r="E47" s="20" t="s">
        <v>153</v>
      </c>
    </row>
  </sheetData>
  <mergeCells count="18">
    <mergeCell ref="A14:T14"/>
    <mergeCell ref="A17:T17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B1" workbookViewId="0">
      <selection activeCell="A8" sqref="A8:T8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1" t="s">
        <v>313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s="2" customFormat="1" ht="62.1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1" customFormat="1" ht="12.75" customHeight="1" x14ac:dyDescent="0.2">
      <c r="A3" s="37" t="s">
        <v>0</v>
      </c>
      <c r="B3" s="39" t="s">
        <v>6</v>
      </c>
      <c r="C3" s="39" t="s">
        <v>7</v>
      </c>
      <c r="D3" s="41" t="s">
        <v>9</v>
      </c>
      <c r="E3" s="41" t="s">
        <v>4</v>
      </c>
      <c r="F3" s="41" t="s">
        <v>8</v>
      </c>
      <c r="G3" s="41" t="s">
        <v>10</v>
      </c>
      <c r="H3" s="41"/>
      <c r="I3" s="41"/>
      <c r="J3" s="41"/>
      <c r="K3" s="41" t="s">
        <v>11</v>
      </c>
      <c r="L3" s="41"/>
      <c r="M3" s="41"/>
      <c r="N3" s="41"/>
      <c r="O3" s="41" t="s">
        <v>12</v>
      </c>
      <c r="P3" s="41"/>
      <c r="Q3" s="41"/>
      <c r="R3" s="41"/>
      <c r="S3" s="41" t="s">
        <v>1</v>
      </c>
      <c r="T3" s="41" t="s">
        <v>3</v>
      </c>
      <c r="U3" s="27" t="s">
        <v>2</v>
      </c>
    </row>
    <row r="4" spans="1:21" s="1" customFormat="1" ht="21" customHeight="1" thickBot="1" x14ac:dyDescent="0.25">
      <c r="A4" s="3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28"/>
    </row>
    <row r="5" spans="1:21" ht="15" x14ac:dyDescent="0.2">
      <c r="A5" s="29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x14ac:dyDescent="0.2">
      <c r="A6" s="18" t="s">
        <v>61</v>
      </c>
      <c r="B6" s="18" t="s">
        <v>62</v>
      </c>
      <c r="C6" s="18" t="s">
        <v>63</v>
      </c>
      <c r="D6" s="18" t="str">
        <f>"0,7029"</f>
        <v>0,7029</v>
      </c>
      <c r="E6" s="18" t="s">
        <v>18</v>
      </c>
      <c r="F6" s="18" t="s">
        <v>64</v>
      </c>
      <c r="G6" s="21" t="s">
        <v>65</v>
      </c>
      <c r="H6" s="21"/>
      <c r="I6" s="21"/>
      <c r="J6" s="21"/>
      <c r="K6" s="21" t="s">
        <v>66</v>
      </c>
      <c r="L6" s="21"/>
      <c r="M6" s="21"/>
      <c r="N6" s="21"/>
      <c r="O6" s="21" t="s">
        <v>67</v>
      </c>
      <c r="P6" s="21"/>
      <c r="Q6" s="21"/>
      <c r="R6" s="21"/>
      <c r="S6" s="18" t="str">
        <f>"0.00"</f>
        <v>0.00</v>
      </c>
      <c r="T6" s="22" t="str">
        <f>"0,0000"</f>
        <v>0,0000</v>
      </c>
      <c r="U6" s="18" t="s">
        <v>27</v>
      </c>
    </row>
    <row r="8" spans="1:21" ht="15" x14ac:dyDescent="0.2">
      <c r="A8" s="30" t="s">
        <v>13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x14ac:dyDescent="0.2">
      <c r="A9" s="18" t="s">
        <v>69</v>
      </c>
      <c r="B9" s="18" t="s">
        <v>70</v>
      </c>
      <c r="C9" s="18" t="s">
        <v>71</v>
      </c>
      <c r="D9" s="18" t="str">
        <f>"0,6395"</f>
        <v>0,6395</v>
      </c>
      <c r="E9" s="18" t="s">
        <v>18</v>
      </c>
      <c r="F9" s="18" t="s">
        <v>19</v>
      </c>
      <c r="G9" s="22" t="s">
        <v>33</v>
      </c>
      <c r="H9" s="22" t="s">
        <v>34</v>
      </c>
      <c r="I9" s="21" t="s">
        <v>72</v>
      </c>
      <c r="J9" s="21"/>
      <c r="K9" s="22" t="s">
        <v>73</v>
      </c>
      <c r="L9" s="22" t="s">
        <v>20</v>
      </c>
      <c r="M9" s="21" t="s">
        <v>36</v>
      </c>
      <c r="N9" s="21"/>
      <c r="O9" s="22" t="s">
        <v>74</v>
      </c>
      <c r="P9" s="21" t="s">
        <v>75</v>
      </c>
      <c r="Q9" s="21"/>
      <c r="R9" s="21"/>
      <c r="S9" s="18" t="str">
        <f>"625,0"</f>
        <v>625,0</v>
      </c>
      <c r="T9" s="22" t="str">
        <f>"399,6875"</f>
        <v>399,6875</v>
      </c>
      <c r="U9" s="18" t="s">
        <v>27</v>
      </c>
    </row>
    <row r="11" spans="1:21" ht="15" x14ac:dyDescent="0.2">
      <c r="A11" s="30" t="s">
        <v>76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1" x14ac:dyDescent="0.2">
      <c r="A12" s="6" t="s">
        <v>77</v>
      </c>
      <c r="B12" s="6" t="s">
        <v>78</v>
      </c>
      <c r="C12" s="6" t="s">
        <v>79</v>
      </c>
      <c r="D12" s="6" t="str">
        <f>"0,5982"</f>
        <v>0,5982</v>
      </c>
      <c r="E12" s="6" t="s">
        <v>18</v>
      </c>
      <c r="F12" s="6" t="s">
        <v>64</v>
      </c>
      <c r="G12" s="7" t="s">
        <v>80</v>
      </c>
      <c r="H12" s="7" t="s">
        <v>81</v>
      </c>
      <c r="I12" s="8" t="s">
        <v>82</v>
      </c>
      <c r="J12" s="8"/>
      <c r="K12" s="8" t="s">
        <v>83</v>
      </c>
      <c r="L12" s="7" t="s">
        <v>84</v>
      </c>
      <c r="M12" s="8" t="s">
        <v>66</v>
      </c>
      <c r="N12" s="8"/>
      <c r="O12" s="8" t="s">
        <v>85</v>
      </c>
      <c r="P12" s="8" t="s">
        <v>85</v>
      </c>
      <c r="Q12" s="8" t="s">
        <v>85</v>
      </c>
      <c r="R12" s="8"/>
      <c r="S12" s="6" t="str">
        <f>"0.00"</f>
        <v>0.00</v>
      </c>
      <c r="T12" s="7" t="str">
        <f>"0,0000"</f>
        <v>0,0000</v>
      </c>
      <c r="U12" s="6" t="s">
        <v>27</v>
      </c>
    </row>
    <row r="13" spans="1:21" x14ac:dyDescent="0.2">
      <c r="A13" s="23" t="s">
        <v>87</v>
      </c>
      <c r="B13" s="23" t="s">
        <v>88</v>
      </c>
      <c r="C13" s="23" t="s">
        <v>89</v>
      </c>
      <c r="D13" s="23" t="str">
        <f>"0,5919"</f>
        <v>0,5919</v>
      </c>
      <c r="E13" s="23" t="s">
        <v>18</v>
      </c>
      <c r="F13" s="23" t="s">
        <v>90</v>
      </c>
      <c r="G13" s="24" t="s">
        <v>72</v>
      </c>
      <c r="H13" s="24" t="s">
        <v>75</v>
      </c>
      <c r="I13" s="24" t="s">
        <v>91</v>
      </c>
      <c r="J13" s="25"/>
      <c r="K13" s="24" t="s">
        <v>21</v>
      </c>
      <c r="L13" s="24" t="s">
        <v>38</v>
      </c>
      <c r="M13" s="24" t="s">
        <v>92</v>
      </c>
      <c r="N13" s="25"/>
      <c r="O13" s="24" t="s">
        <v>93</v>
      </c>
      <c r="P13" s="24" t="s">
        <v>94</v>
      </c>
      <c r="Q13" s="24" t="s">
        <v>95</v>
      </c>
      <c r="R13" s="25"/>
      <c r="S13" s="23" t="str">
        <f>"747,5"</f>
        <v>747,5</v>
      </c>
      <c r="T13" s="24" t="str">
        <f>"442,4452"</f>
        <v>442,4452</v>
      </c>
      <c r="U13" s="23" t="s">
        <v>27</v>
      </c>
    </row>
    <row r="14" spans="1:21" x14ac:dyDescent="0.2">
      <c r="A14" s="9" t="s">
        <v>87</v>
      </c>
      <c r="B14" s="9" t="s">
        <v>96</v>
      </c>
      <c r="C14" s="9" t="s">
        <v>89</v>
      </c>
      <c r="D14" s="9" t="str">
        <f>"0,5919"</f>
        <v>0,5919</v>
      </c>
      <c r="E14" s="9" t="s">
        <v>18</v>
      </c>
      <c r="F14" s="9" t="s">
        <v>90</v>
      </c>
      <c r="G14" s="10" t="s">
        <v>72</v>
      </c>
      <c r="H14" s="10" t="s">
        <v>75</v>
      </c>
      <c r="I14" s="10" t="s">
        <v>91</v>
      </c>
      <c r="J14" s="11"/>
      <c r="K14" s="10" t="s">
        <v>21</v>
      </c>
      <c r="L14" s="10" t="s">
        <v>38</v>
      </c>
      <c r="M14" s="10" t="s">
        <v>92</v>
      </c>
      <c r="N14" s="11"/>
      <c r="O14" s="10" t="s">
        <v>93</v>
      </c>
      <c r="P14" s="10" t="s">
        <v>94</v>
      </c>
      <c r="Q14" s="10" t="s">
        <v>95</v>
      </c>
      <c r="R14" s="11"/>
      <c r="S14" s="9" t="str">
        <f>"747,5"</f>
        <v>747,5</v>
      </c>
      <c r="T14" s="10" t="str">
        <f>"461,4704"</f>
        <v>461,4704</v>
      </c>
      <c r="U14" s="9" t="s">
        <v>27</v>
      </c>
    </row>
    <row r="16" spans="1:21" ht="15" x14ac:dyDescent="0.2">
      <c r="E16" s="12" t="s">
        <v>41</v>
      </c>
    </row>
    <row r="17" spans="1:5" ht="15" x14ac:dyDescent="0.2">
      <c r="E17" s="12" t="s">
        <v>42</v>
      </c>
    </row>
    <row r="18" spans="1:5" ht="15" x14ac:dyDescent="0.2">
      <c r="E18" s="12" t="s">
        <v>43</v>
      </c>
    </row>
    <row r="19" spans="1:5" ht="15" x14ac:dyDescent="0.2">
      <c r="E19" s="12" t="s">
        <v>44</v>
      </c>
    </row>
    <row r="20" spans="1:5" ht="15" x14ac:dyDescent="0.2">
      <c r="E20" s="12" t="s">
        <v>44</v>
      </c>
    </row>
    <row r="21" spans="1:5" ht="15" x14ac:dyDescent="0.2">
      <c r="E21" s="12" t="s">
        <v>45</v>
      </c>
    </row>
    <row r="22" spans="1:5" ht="15" x14ac:dyDescent="0.2">
      <c r="E22" s="12"/>
    </row>
    <row r="24" spans="1:5" ht="18" x14ac:dyDescent="0.25">
      <c r="A24" s="13" t="s">
        <v>46</v>
      </c>
      <c r="B24" s="13"/>
    </row>
    <row r="25" spans="1:5" ht="15" x14ac:dyDescent="0.2">
      <c r="A25" s="14" t="s">
        <v>47</v>
      </c>
      <c r="B25" s="14"/>
    </row>
    <row r="26" spans="1:5" ht="14.25" x14ac:dyDescent="0.2">
      <c r="A26" s="16"/>
      <c r="B26" s="17" t="s">
        <v>57</v>
      </c>
    </row>
    <row r="27" spans="1:5" ht="15" x14ac:dyDescent="0.2">
      <c r="A27" s="19" t="s">
        <v>49</v>
      </c>
      <c r="B27" s="19" t="s">
        <v>50</v>
      </c>
      <c r="C27" s="19" t="s">
        <v>51</v>
      </c>
      <c r="D27" s="19" t="s">
        <v>52</v>
      </c>
      <c r="E27" s="19" t="s">
        <v>53</v>
      </c>
    </row>
    <row r="28" spans="1:5" x14ac:dyDescent="0.2">
      <c r="A28" s="15" t="s">
        <v>86</v>
      </c>
      <c r="B28" s="4" t="s">
        <v>57</v>
      </c>
      <c r="C28" s="4" t="s">
        <v>83</v>
      </c>
      <c r="D28" s="4" t="s">
        <v>97</v>
      </c>
      <c r="E28" s="20" t="s">
        <v>98</v>
      </c>
    </row>
    <row r="29" spans="1:5" x14ac:dyDescent="0.2">
      <c r="A29" s="15" t="s">
        <v>68</v>
      </c>
      <c r="B29" s="4" t="s">
        <v>57</v>
      </c>
      <c r="C29" s="4" t="s">
        <v>23</v>
      </c>
      <c r="D29" s="4" t="s">
        <v>99</v>
      </c>
      <c r="E29" s="20" t="s">
        <v>100</v>
      </c>
    </row>
    <row r="31" spans="1:5" ht="14.25" x14ac:dyDescent="0.2">
      <c r="A31" s="16"/>
      <c r="B31" s="17" t="s">
        <v>101</v>
      </c>
    </row>
    <row r="32" spans="1:5" ht="15" x14ac:dyDescent="0.2">
      <c r="A32" s="19" t="s">
        <v>49</v>
      </c>
      <c r="B32" s="19" t="s">
        <v>50</v>
      </c>
      <c r="C32" s="19" t="s">
        <v>51</v>
      </c>
      <c r="D32" s="19" t="s">
        <v>52</v>
      </c>
      <c r="E32" s="19" t="s">
        <v>53</v>
      </c>
    </row>
    <row r="33" spans="1:5" x14ac:dyDescent="0.2">
      <c r="A33" s="15" t="s">
        <v>86</v>
      </c>
      <c r="B33" s="4" t="s">
        <v>102</v>
      </c>
      <c r="C33" s="4" t="s">
        <v>83</v>
      </c>
      <c r="D33" s="4" t="s">
        <v>97</v>
      </c>
      <c r="E33" s="20" t="s">
        <v>103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WPU c ДК тяга без эк.</vt:lpstr>
      <vt:lpstr>WPU тяга без эк.</vt:lpstr>
      <vt:lpstr>WPU жим в мн сл. эк. (ЭЛИТА)</vt:lpstr>
      <vt:lpstr>WPU c ДК жим в одн сл. эк.</vt:lpstr>
      <vt:lpstr>WPU жим в одн сл. эк.</vt:lpstr>
      <vt:lpstr>WPU c ДК жим безэк.</vt:lpstr>
      <vt:lpstr>WPU жим безэк.</vt:lpstr>
      <vt:lpstr>WPU c ДК пл безэк.</vt:lpstr>
      <vt:lpstr>WPU пл безэк.</vt:lpstr>
      <vt:lpstr>WPU пл классик.</vt:lpstr>
      <vt:lpstr>WPU НЖ 1_2 вес д.к.</vt:lpstr>
      <vt:lpstr>WPU НЖ 1 вес д.к.</vt:lpstr>
      <vt:lpstr>WPU НЖ 1_2 вес</vt:lpstr>
      <vt:lpstr>WPU НЖ 1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Соловьев И В</cp:lastModifiedBy>
  <cp:lastPrinted>2015-07-16T19:10:53Z</cp:lastPrinted>
  <dcterms:created xsi:type="dcterms:W3CDTF">2002-06-16T13:36:44Z</dcterms:created>
  <dcterms:modified xsi:type="dcterms:W3CDTF">2018-12-05T09:18:08Z</dcterms:modified>
</cp:coreProperties>
</file>