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2" activeTab="5"/>
  </bookViews>
  <sheets>
    <sheet name="WPU c ДК тяга классик." sheetId="1" r:id="rId1"/>
    <sheet name="WPU c ДК тяга без эк." sheetId="2" r:id="rId2"/>
    <sheet name="WPU c ДК жим классик." sheetId="3" r:id="rId3"/>
    <sheet name="WPU c ДК жим безэк." sheetId="4" r:id="rId4"/>
    <sheet name="WPU c ДК пл классик." sheetId="5" r:id="rId5"/>
    <sheet name="WPU c ДК пл безэк." sheetId="6" r:id="rId6"/>
    <sheet name="WPU c ДК пл в одн сл. эк." sheetId="7" r:id="rId7"/>
    <sheet name="WPU НЖ 1 вес д.к." sheetId="8" r:id="rId8"/>
    <sheet name="WPU тяга классик." sheetId="9" r:id="rId9"/>
    <sheet name="WPU тяга без эк." sheetId="10" r:id="rId10"/>
    <sheet name="WPU жим классик." sheetId="11" r:id="rId11"/>
    <sheet name="WPU жим безэк." sheetId="12" r:id="rId12"/>
    <sheet name="WPU жим в мн сл. эк." sheetId="13" r:id="rId13"/>
    <sheet name="WPU пл классик." sheetId="14" r:id="rId14"/>
    <sheet name="WPU пл безэк." sheetId="15" r:id="rId15"/>
    <sheet name="WPU НЖ 1 вес" sheetId="16" r:id="rId16"/>
  </sheets>
  <definedNames/>
  <calcPr fullCalcOnLoad="1" refMode="R1C1"/>
</workbook>
</file>

<file path=xl/sharedStrings.xml><?xml version="1.0" encoding="utf-8"?>
<sst xmlns="http://schemas.openxmlformats.org/spreadsheetml/2006/main" count="1718" uniqueCount="567">
  <si>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</si>
  <si>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</si>
  <si>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</si>
  <si>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</si>
  <si>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</si>
  <si>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</si>
  <si>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</si>
  <si>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</si>
  <si>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</si>
  <si>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 груп
Год. р./Возраст</t>
  </si>
  <si>
    <t>Город/область</t>
  </si>
  <si>
    <t>Соб.
Вес</t>
  </si>
  <si>
    <t>Wilks</t>
  </si>
  <si>
    <t>ВЕСОВАЯ КАТЕГОРИЯ   60</t>
  </si>
  <si>
    <t>1. Ветрова Вероника (2)</t>
  </si>
  <si>
    <t>Юниорки 20 - 23 (19.11.1995)/22</t>
  </si>
  <si>
    <t>59,20</t>
  </si>
  <si>
    <t xml:space="preserve">Саратов </t>
  </si>
  <si>
    <t xml:space="preserve">Саратов/Саратовская область </t>
  </si>
  <si>
    <t>75,0</t>
  </si>
  <si>
    <t>80,0</t>
  </si>
  <si>
    <t>87,5</t>
  </si>
  <si>
    <t>47,5</t>
  </si>
  <si>
    <t>52,5</t>
  </si>
  <si>
    <t>55,0</t>
  </si>
  <si>
    <t>95,0</t>
  </si>
  <si>
    <t>105,0</t>
  </si>
  <si>
    <t>110,0</t>
  </si>
  <si>
    <t>ВЕСОВАЯ КАТЕГОРИЯ   67.5</t>
  </si>
  <si>
    <t>1. Калажокова Виктория (+3)</t>
  </si>
  <si>
    <t>Открытая (04.08.1998)/19</t>
  </si>
  <si>
    <t>65,50</t>
  </si>
  <si>
    <t>85,0</t>
  </si>
  <si>
    <t>90,0</t>
  </si>
  <si>
    <t>42,5</t>
  </si>
  <si>
    <t>50,0</t>
  </si>
  <si>
    <t>107,5</t>
  </si>
  <si>
    <t>112,5</t>
  </si>
  <si>
    <t>117,5</t>
  </si>
  <si>
    <t>1. Курбако Александр (2)</t>
  </si>
  <si>
    <t>Юниоры 20 - 23 (24.08.1997)/20</t>
  </si>
  <si>
    <t>65,80</t>
  </si>
  <si>
    <t>100,0</t>
  </si>
  <si>
    <t>120,0</t>
  </si>
  <si>
    <t>92,5</t>
  </si>
  <si>
    <t>150,0</t>
  </si>
  <si>
    <t>165,0</t>
  </si>
  <si>
    <t>170,0</t>
  </si>
  <si>
    <t xml:space="preserve">Рахманов В.А. </t>
  </si>
  <si>
    <t>ВЕСОВАЯ КАТЕГОРИЯ   75</t>
  </si>
  <si>
    <t>1. Сотников Виктор (2)</t>
  </si>
  <si>
    <t>Юноши 16 - 19 (02.03.1999)/18</t>
  </si>
  <si>
    <t>70,20</t>
  </si>
  <si>
    <t>140,0</t>
  </si>
  <si>
    <t>145,0</t>
  </si>
  <si>
    <t>160,0</t>
  </si>
  <si>
    <t>185,0</t>
  </si>
  <si>
    <t>2. Дегтярев Андрей (3)</t>
  </si>
  <si>
    <t>Юноши 16 - 19 (10.02.2000)/17</t>
  </si>
  <si>
    <t>73,80</t>
  </si>
  <si>
    <t>135,0</t>
  </si>
  <si>
    <t>152,5</t>
  </si>
  <si>
    <t>ВЕСОВАЯ КАТЕГОРИЯ   90</t>
  </si>
  <si>
    <t>1. Гальцов Владимир (+2)</t>
  </si>
  <si>
    <t>Юноши 16 - 19 (09.08.2000)/17</t>
  </si>
  <si>
    <t>89,20</t>
  </si>
  <si>
    <t>115,0</t>
  </si>
  <si>
    <t>175,0</t>
  </si>
  <si>
    <t>180,0</t>
  </si>
  <si>
    <t>ВЕСОВАЯ КАТЕГОРИЯ   110</t>
  </si>
  <si>
    <t>1. Ермолаев Павел (КМС)</t>
  </si>
  <si>
    <t>Открытая (17.01.1991)/26</t>
  </si>
  <si>
    <t>108,80</t>
  </si>
  <si>
    <t>210,0</t>
  </si>
  <si>
    <t>220,0</t>
  </si>
  <si>
    <t>232,5</t>
  </si>
  <si>
    <t>270,0</t>
  </si>
  <si>
    <t>280,0</t>
  </si>
  <si>
    <t>300,0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</si>
  <si>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</si>
  <si>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</si>
  <si>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</si>
  <si>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</si>
  <si>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</si>
  <si>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</si>
  <si>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</si>
  <si>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</si>
  <si>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</si>
  <si>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</si>
  <si>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</si>
  <si>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60,0</t>
  </si>
  <si>
    <t>252,5</t>
  </si>
  <si>
    <t xml:space="preserve">Открытая </t>
  </si>
  <si>
    <t>67,5</t>
  </si>
  <si>
    <t xml:space="preserve">Мужчины </t>
  </si>
  <si>
    <t>ВЕСОВАЯ КАТЕГОРИЯ   52</t>
  </si>
  <si>
    <t>1. Семенихина Анастасия (+3)</t>
  </si>
  <si>
    <t>Открытая (16.09.1991)/26</t>
  </si>
  <si>
    <t>51,00</t>
  </si>
  <si>
    <t>72,5</t>
  </si>
  <si>
    <t>35,0</t>
  </si>
  <si>
    <t>37,5</t>
  </si>
  <si>
    <t>40,0</t>
  </si>
  <si>
    <t>82,5</t>
  </si>
  <si>
    <t>1. Пименова Елена (1)</t>
  </si>
  <si>
    <t>Открытая (13.08.1984)/33</t>
  </si>
  <si>
    <t>74,00</t>
  </si>
  <si>
    <t>70,0</t>
  </si>
  <si>
    <t>ВЕСОВАЯ КАТЕГОРИЯ   56</t>
  </si>
  <si>
    <t>1. Чижов Никита (3)</t>
  </si>
  <si>
    <t>Юниоры 20 - 23 (04.10.1995)/22</t>
  </si>
  <si>
    <t>44,70</t>
  </si>
  <si>
    <t>57,5</t>
  </si>
  <si>
    <t>1. Васильев Александр (+1Ю)</t>
  </si>
  <si>
    <t>Юноши 14 - 15 (04.12.2002)/15</t>
  </si>
  <si>
    <t>74,40</t>
  </si>
  <si>
    <t>125,0</t>
  </si>
  <si>
    <t>1. Джафаров Сахиль (2)</t>
  </si>
  <si>
    <t>Юноши 16 - 19 (27.11.1999)/18</t>
  </si>
  <si>
    <t>74,20</t>
  </si>
  <si>
    <t>130,0</t>
  </si>
  <si>
    <t>190,0</t>
  </si>
  <si>
    <t>1. Трояшкин Анатолий (МС)</t>
  </si>
  <si>
    <t>Открытая (16.01.1989)/28</t>
  </si>
  <si>
    <t>73,00</t>
  </si>
  <si>
    <t xml:space="preserve">Пензенская </t>
  </si>
  <si>
    <t xml:space="preserve">Пенза/Пензенская область </t>
  </si>
  <si>
    <t>200,0</t>
  </si>
  <si>
    <t>215,0</t>
  </si>
  <si>
    <t>230,0</t>
  </si>
  <si>
    <t>240,0</t>
  </si>
  <si>
    <t>245,0</t>
  </si>
  <si>
    <t xml:space="preserve"> </t>
  </si>
  <si>
    <t>1. Кузнецов Антон (1)</t>
  </si>
  <si>
    <t>Юниоры 20 - 23 (27.08.1994)/23</t>
  </si>
  <si>
    <t>89,00</t>
  </si>
  <si>
    <t>205,0</t>
  </si>
  <si>
    <t>222,5</t>
  </si>
  <si>
    <t>227,5</t>
  </si>
  <si>
    <t>142,5</t>
  </si>
  <si>
    <t>157,5</t>
  </si>
  <si>
    <t>225,0</t>
  </si>
  <si>
    <t>1. Конкин Владимир (МС)</t>
  </si>
  <si>
    <t>Открытая (24.06.1989)/28</t>
  </si>
  <si>
    <t>89,90</t>
  </si>
  <si>
    <t>237,5</t>
  </si>
  <si>
    <t>155,0</t>
  </si>
  <si>
    <t>242,5</t>
  </si>
  <si>
    <t>340,0</t>
  </si>
  <si>
    <t>327,5</t>
  </si>
  <si>
    <t>1. Авдеенко Марьяна (+3)</t>
  </si>
  <si>
    <t>Девушки 14 - 15 (01.12.2004)/13</t>
  </si>
  <si>
    <t>59,80</t>
  </si>
  <si>
    <t>30,0</t>
  </si>
  <si>
    <t>1. Сапашев Руслан</t>
  </si>
  <si>
    <t>Юноши 14 - 15 (28.07.2008)/9</t>
  </si>
  <si>
    <t>53,40</t>
  </si>
  <si>
    <t>2. Николаев Егор</t>
  </si>
  <si>
    <t>Юноши 14 - 15 (10.05.2007)/10</t>
  </si>
  <si>
    <t>31,00</t>
  </si>
  <si>
    <t>25,0</t>
  </si>
  <si>
    <t>27,5</t>
  </si>
  <si>
    <t>1. Поляков Антон (+2Ю)</t>
  </si>
  <si>
    <t>Юноши 14 - 15 (31.07.2003)/14</t>
  </si>
  <si>
    <t>67,00</t>
  </si>
  <si>
    <t>65,0</t>
  </si>
  <si>
    <t>1. Селезнев Александр</t>
  </si>
  <si>
    <t>Юноши 14 - 15 (31.01.2005)/12</t>
  </si>
  <si>
    <t>70,00</t>
  </si>
  <si>
    <t>1. Кондрашов Кирилл (+3)</t>
  </si>
  <si>
    <t>Открытая (30.06.1999)/18</t>
  </si>
  <si>
    <t>ВЕСОВАЯ КАТЕГОРИЯ   82.5</t>
  </si>
  <si>
    <t>1. Семикин Глеб (+3)</t>
  </si>
  <si>
    <t>Юноши 16 - 19 (18.08.2000)/17</t>
  </si>
  <si>
    <t>76,70</t>
  </si>
  <si>
    <t>1. Боронин Дмитрий (+1)</t>
  </si>
  <si>
    <t>Ветераны 65 - 69 (13.06.1951)/66</t>
  </si>
  <si>
    <t>80,00</t>
  </si>
  <si>
    <t>122,5</t>
  </si>
  <si>
    <t>127,5</t>
  </si>
  <si>
    <t>133,0</t>
  </si>
  <si>
    <t>1. Антипов Владислав (+КМС)</t>
  </si>
  <si>
    <t>Юниоры 20 - 23 (28.03.1996)/21</t>
  </si>
  <si>
    <t>89,10</t>
  </si>
  <si>
    <t>ВЕСОВАЯ КАТЕГОРИЯ   100</t>
  </si>
  <si>
    <t>1. Жуков Александр (+МС)</t>
  </si>
  <si>
    <t>Открытая (13.03.1983)/34</t>
  </si>
  <si>
    <t>98,90</t>
  </si>
  <si>
    <t>197,5</t>
  </si>
  <si>
    <t>2. Журавлев Алексей (+МС)</t>
  </si>
  <si>
    <t>Открытая (15.09.1989)/28</t>
  </si>
  <si>
    <t>96,00</t>
  </si>
  <si>
    <t>182,5</t>
  </si>
  <si>
    <t>Результат</t>
  </si>
  <si>
    <t>ВЕСОВАЯ КАТЕГОРИЯ   48</t>
  </si>
  <si>
    <t>1. Филиппова Екатерина (+1)</t>
  </si>
  <si>
    <t>Юниорки 20 - 23 (11.09.1996)/21</t>
  </si>
  <si>
    <t>46,50</t>
  </si>
  <si>
    <t>1. Николаева Мария (+КМС)</t>
  </si>
  <si>
    <t>Юниорки 20 - 23 (15.06.1997)/20</t>
  </si>
  <si>
    <t>65,00</t>
  </si>
  <si>
    <t>1. Агишева Надежда (+1)</t>
  </si>
  <si>
    <t>Открытая (11.01.1978)/39</t>
  </si>
  <si>
    <t>62,00</t>
  </si>
  <si>
    <t>0,0</t>
  </si>
  <si>
    <t>1. Пименова Елена (+1)</t>
  </si>
  <si>
    <t>1. Падяш Евгений (+3)</t>
  </si>
  <si>
    <t>Юноши 16 - 19 (26.03.1999)/18</t>
  </si>
  <si>
    <t>64,30</t>
  </si>
  <si>
    <t>1. Коняев Валерий (+2)</t>
  </si>
  <si>
    <t>Открытая (11.10.1999)/18</t>
  </si>
  <si>
    <t>72,40</t>
  </si>
  <si>
    <t>1. Борисов Даниил (+1)</t>
  </si>
  <si>
    <t>Юниоры 20 - 23 (01.01.1998)/19</t>
  </si>
  <si>
    <t>78,90</t>
  </si>
  <si>
    <t>1. Дроздов Станислав (+3)</t>
  </si>
  <si>
    <t>Ветераны 40 - 44 (24.10.1976)/41</t>
  </si>
  <si>
    <t>84,00</t>
  </si>
  <si>
    <t>1. Левашов Станислав (+МС)</t>
  </si>
  <si>
    <t>Юниоры 20 - 23 (15.08.1997)/20</t>
  </si>
  <si>
    <t>98,20</t>
  </si>
  <si>
    <t>1. Коржинов Тимур (+МС)</t>
  </si>
  <si>
    <t>Открытая (28.08.1993)/24</t>
  </si>
  <si>
    <t>97,50</t>
  </si>
  <si>
    <t>195,0</t>
  </si>
  <si>
    <t>1. Шабарков Олег (+2)</t>
  </si>
  <si>
    <t>Ветераны 55 - 59 (18.11.1961)/56</t>
  </si>
  <si>
    <t>98,00</t>
  </si>
  <si>
    <t>ВЕСОВАЯ КАТЕГОРИЯ   125</t>
  </si>
  <si>
    <t>1. Акимов костантин (+МС)</t>
  </si>
  <si>
    <t>Открытая (10.03.1975)/42</t>
  </si>
  <si>
    <t>117,10</t>
  </si>
  <si>
    <t>ВЕСОВАЯ КАТЕГОРИЯ   140</t>
  </si>
  <si>
    <t>1. Земляков Роман (+МС)</t>
  </si>
  <si>
    <t>Открытая (24.09.1988)/29</t>
  </si>
  <si>
    <t>130,70</t>
  </si>
  <si>
    <t>1. Чугуров Сергей (+МС)</t>
  </si>
  <si>
    <t>Открытая (22.06.1993)/24</t>
  </si>
  <si>
    <t>73,70</t>
  </si>
  <si>
    <t>217,5</t>
  </si>
  <si>
    <t>1. Кочергина Полина (+2Ю)</t>
  </si>
  <si>
    <t>Девушки 14 - 15 (06.05.2002)/15</t>
  </si>
  <si>
    <t>51,90</t>
  </si>
  <si>
    <t>1. Крусс Юлия (+2)</t>
  </si>
  <si>
    <t>Открытая (26.11.1988)/29</t>
  </si>
  <si>
    <t>55,00</t>
  </si>
  <si>
    <t>97,5</t>
  </si>
  <si>
    <t>1. Игудина Мария (+2Ю)</t>
  </si>
  <si>
    <t>Открытая (10.11.1982)/35</t>
  </si>
  <si>
    <t>1. Буланов Алексей (+1)</t>
  </si>
  <si>
    <t>Открытая (11.04.1992)/25</t>
  </si>
  <si>
    <t>94,30</t>
  </si>
  <si>
    <t>1. Гавриленко Татьяна (+1)</t>
  </si>
  <si>
    <t>Открытая (10.04.1992)/25</t>
  </si>
  <si>
    <t>47,80</t>
  </si>
  <si>
    <t>1. Ветрова Вероника (+2)</t>
  </si>
  <si>
    <t>1. Савенкова Ольга (+3)</t>
  </si>
  <si>
    <t>Ветераны 55 - 59 (09.02.1962)/55</t>
  </si>
  <si>
    <t>60,00</t>
  </si>
  <si>
    <t>1. Сотников Виктор (+1)</t>
  </si>
  <si>
    <t>1. Онищенко Сергей (+КМС)</t>
  </si>
  <si>
    <t>Юниоры 20 - 23 (25.11.1994)/23</t>
  </si>
  <si>
    <t>85,30</t>
  </si>
  <si>
    <t>2. Игнатов Дмитрий (+2)</t>
  </si>
  <si>
    <t>Юниоры 20 - 23 (06.10.1994)/23</t>
  </si>
  <si>
    <t>85,20</t>
  </si>
  <si>
    <t>Исаев Иван</t>
  </si>
  <si>
    <t>1. Исаев Иван (+МС)</t>
  </si>
  <si>
    <t>Открытая (03.01.1995)/22</t>
  </si>
  <si>
    <t>98,80</t>
  </si>
  <si>
    <t>285,0</t>
  </si>
  <si>
    <t>2. Калинин Максим (+КМС)</t>
  </si>
  <si>
    <t>Открытая (01.06.1993)/24</t>
  </si>
  <si>
    <t>92,60</t>
  </si>
  <si>
    <t>Ахлестин Сергей</t>
  </si>
  <si>
    <t>1. Ахлестин Сергей (+МСМК)</t>
  </si>
  <si>
    <t>103,70</t>
  </si>
  <si>
    <t>325,0</t>
  </si>
  <si>
    <t>Клопков Илья</t>
  </si>
  <si>
    <t>1. Клопков Илья (+МС)</t>
  </si>
  <si>
    <t>Открытая (03.05.1994)/23</t>
  </si>
  <si>
    <t>113,20</t>
  </si>
  <si>
    <t>320,0</t>
  </si>
  <si>
    <t>204,0680</t>
  </si>
  <si>
    <t>186,7520</t>
  </si>
  <si>
    <t>183,4800</t>
  </si>
  <si>
    <t>1. Мякотина Надежда (КМС)</t>
  </si>
  <si>
    <t>Открытая (28.07.1984)/33</t>
  </si>
  <si>
    <t>58,00</t>
  </si>
  <si>
    <t>62,5</t>
  </si>
  <si>
    <t>1. Алекперов Ниджад (КМС)</t>
  </si>
  <si>
    <t>Юноши 16 - 19 (25.06.1999)/18</t>
  </si>
  <si>
    <t>71,40</t>
  </si>
  <si>
    <t>1. Захаров Дмитрий (КМС)</t>
  </si>
  <si>
    <t>Открытая (01.12.1978)/39</t>
  </si>
  <si>
    <t>79,90</t>
  </si>
  <si>
    <t>137,5</t>
  </si>
  <si>
    <t>207,5</t>
  </si>
  <si>
    <t>-. Леонов Александр</t>
  </si>
  <si>
    <t>Открытая (15.06.1992)/25</t>
  </si>
  <si>
    <t>81,90</t>
  </si>
  <si>
    <t>1. Леонов Павел (2)</t>
  </si>
  <si>
    <t>Юноши 16 - 19 (27.09.1999)/18</t>
  </si>
  <si>
    <t>87,30</t>
  </si>
  <si>
    <t>1. Гебеков Салих (КМС)</t>
  </si>
  <si>
    <t>Юниоры 20 - 23 (13.05.1996)/21</t>
  </si>
  <si>
    <t>87,90</t>
  </si>
  <si>
    <t xml:space="preserve">Балашов/Саратовская область </t>
  </si>
  <si>
    <t>1. Нагорнов Станислав (1)</t>
  </si>
  <si>
    <t>Открытая (21.10.1990)/27</t>
  </si>
  <si>
    <t>98,40</t>
  </si>
  <si>
    <t>1. Лебедева Вероника (+МСМК)</t>
  </si>
  <si>
    <t>Открытая (19.09.1989)/28</t>
  </si>
  <si>
    <t>46,70</t>
  </si>
  <si>
    <t>1. Архипов Владислав (+1)</t>
  </si>
  <si>
    <t>Юноши 16 - 19 (01.12.2001)/16</t>
  </si>
  <si>
    <t>59,50</t>
  </si>
  <si>
    <t>1. Гавриленко Кирилл (+2)</t>
  </si>
  <si>
    <t>Юниоры 20 - 23 (30.10.1997)/20</t>
  </si>
  <si>
    <t>-. Совенко Анатолий</t>
  </si>
  <si>
    <t>Юниоры 20 - 23 (22.11.2017)/0</t>
  </si>
  <si>
    <t>79,80</t>
  </si>
  <si>
    <t>1. Гаганин Борис (+МС)</t>
  </si>
  <si>
    <t>Открытая (19.07.1983)/34</t>
  </si>
  <si>
    <t>80,30</t>
  </si>
  <si>
    <t>235,0</t>
  </si>
  <si>
    <t>1. Архипов Роман (+КМС)</t>
  </si>
  <si>
    <t>Открытая (26.11.1985)/32</t>
  </si>
  <si>
    <t>96,10</t>
  </si>
  <si>
    <t>250,5</t>
  </si>
  <si>
    <t xml:space="preserve">Маслов Н.И. </t>
  </si>
  <si>
    <t>1. Пушкарёв Игорь (+2)</t>
  </si>
  <si>
    <t>Ветераны 45 - 49 (01.09.1968)/49</t>
  </si>
  <si>
    <t>103,60</t>
  </si>
  <si>
    <t>1. Галкин Дмитрий (+МС)</t>
  </si>
  <si>
    <t>Открытая (14.08.1987)/30</t>
  </si>
  <si>
    <t>86,00</t>
  </si>
  <si>
    <t>250,0</t>
  </si>
  <si>
    <t>1. Еремина Надежда (+МС)</t>
  </si>
  <si>
    <t>Открытая (12.01.1985)/32</t>
  </si>
  <si>
    <t>1. Иосифов Валерий (+МС)</t>
  </si>
  <si>
    <t>Открытая (22.07.1982)/35</t>
  </si>
  <si>
    <t>72,80</t>
  </si>
  <si>
    <t xml:space="preserve">Красноармейск/Саратовская область </t>
  </si>
  <si>
    <t>132,5</t>
  </si>
  <si>
    <t xml:space="preserve">Зотов А.П. </t>
  </si>
  <si>
    <t>1. Афанасьев Сергей (+КМС)</t>
  </si>
  <si>
    <t>Открытая (28.06.1983)/34</t>
  </si>
  <si>
    <t>82,40</t>
  </si>
  <si>
    <t>1. Кирьянов Дмитрий (+КМС)</t>
  </si>
  <si>
    <t>Юниоры 20 - 23 (14.08.1996)/21</t>
  </si>
  <si>
    <t>88,10</t>
  </si>
  <si>
    <t>2. Осипов Денис (+КМС)</t>
  </si>
  <si>
    <t>Юниоры 20 - 23 (25.12.1995)/21</t>
  </si>
  <si>
    <t>85,10</t>
  </si>
  <si>
    <t>1. Кудрявцев Сергей (+МС)</t>
  </si>
  <si>
    <t>Открытая (20.11.1987)/30</t>
  </si>
  <si>
    <t>88,80</t>
  </si>
  <si>
    <t>1. Алексеев Кирилл (+МС)</t>
  </si>
  <si>
    <t>Открытая (05.05.1989)/28</t>
  </si>
  <si>
    <t>99,80</t>
  </si>
  <si>
    <t xml:space="preserve">Энгельс/Саратовская область </t>
  </si>
  <si>
    <t>167,5</t>
  </si>
  <si>
    <t>1. Ковалев Олег (+МС)</t>
  </si>
  <si>
    <t>Ветераны 45 - 49 (07.08.1969)/48</t>
  </si>
  <si>
    <t>Кондратьев Павел</t>
  </si>
  <si>
    <t>1. Кондратьев Павел (+МСМК)</t>
  </si>
  <si>
    <t>Открытая (20.09.1989)/28</t>
  </si>
  <si>
    <t>107,80</t>
  </si>
  <si>
    <t>192,5</t>
  </si>
  <si>
    <t>1. Таранов Павел (+МС)</t>
  </si>
  <si>
    <t>Ветераны 45 - 49 (26.06.1972)/45</t>
  </si>
  <si>
    <t>108,50</t>
  </si>
  <si>
    <t>172,5</t>
  </si>
  <si>
    <t>1. Бурданов Егор (+МСМК)</t>
  </si>
  <si>
    <t>Открытая (21.07.1984)/33</t>
  </si>
  <si>
    <t>122,70</t>
  </si>
  <si>
    <t>115,4985</t>
  </si>
  <si>
    <t>46,00</t>
  </si>
  <si>
    <t>1. Лопаткина Маргарита (+КМС)</t>
  </si>
  <si>
    <t>Открытая (18.08.1996)/21</t>
  </si>
  <si>
    <t>59,90</t>
  </si>
  <si>
    <t>1. Бочкова Елена (+1)</t>
  </si>
  <si>
    <t>Открытая (28.11.1977)/40</t>
  </si>
  <si>
    <t>74,30</t>
  </si>
  <si>
    <t>1. Галицинская Анна (+3)</t>
  </si>
  <si>
    <t>Ветераны 40 - 44 (19.09.1974)/43</t>
  </si>
  <si>
    <t>1. Федорин Михаил (+КМС)</t>
  </si>
  <si>
    <t>Открытая (13.07.1992)/25</t>
  </si>
  <si>
    <t>66,20</t>
  </si>
  <si>
    <t>1. Зинкин Владислав (+КМС)</t>
  </si>
  <si>
    <t>Ветераны 40 - 44 (19.04.1976)/41</t>
  </si>
  <si>
    <t>75,00</t>
  </si>
  <si>
    <t>1. Гусаков Никита (+КМС)</t>
  </si>
  <si>
    <t>Юниоры 20 - 23 (01.03.1997)/20</t>
  </si>
  <si>
    <t>-. Батраков Павел</t>
  </si>
  <si>
    <t>Открытая (13.06.1992)/25</t>
  </si>
  <si>
    <t>80,90</t>
  </si>
  <si>
    <t xml:space="preserve">Нижний Ломов/Пензенская област </t>
  </si>
  <si>
    <t>147,5</t>
  </si>
  <si>
    <t>1. Молчанова Наталья (+3)</t>
  </si>
  <si>
    <t>Ветераны 40 - 44 (08.02.1973)/44</t>
  </si>
  <si>
    <t>1. Рындин Аркадий (+3)</t>
  </si>
  <si>
    <t>Ветераны 45 - 49 (24.11.1971)/46</t>
  </si>
  <si>
    <t>80,50</t>
  </si>
  <si>
    <t>Шавель Артем</t>
  </si>
  <si>
    <t>1. Шавель Артем (+МСМК)</t>
  </si>
  <si>
    <t>Открытая (03.08.1994)/23</t>
  </si>
  <si>
    <t>177,5</t>
  </si>
  <si>
    <t>2. Рудь Илья (+МС)</t>
  </si>
  <si>
    <t>Открытая (05.04.1984)/33</t>
  </si>
  <si>
    <t>3. Елин Виктор (+КМС)</t>
  </si>
  <si>
    <t>Открытая (22.08.1979)/38</t>
  </si>
  <si>
    <t xml:space="preserve">Саратовская область/Саратовска </t>
  </si>
  <si>
    <t>Манукян Артур</t>
  </si>
  <si>
    <t>1. Манукян Артур (+МС)</t>
  </si>
  <si>
    <t>Открытая (05.04.1992)/25</t>
  </si>
  <si>
    <t>98,50</t>
  </si>
  <si>
    <t xml:space="preserve">Каменка/Пензенская область </t>
  </si>
  <si>
    <t>2. Ручков Максим (+МС)</t>
  </si>
  <si>
    <t>Открытая (16.12.1980)/36</t>
  </si>
  <si>
    <t>1. Санфиров Владимир (+МС)</t>
  </si>
  <si>
    <t>Ветераны 40 - 44 (30.08.1974)/43</t>
  </si>
  <si>
    <t>99,00</t>
  </si>
  <si>
    <t>1. Болдырев Егор (+МСМК)</t>
  </si>
  <si>
    <t>Юниоры 20 - 23 (02.07.1994)/23</t>
  </si>
  <si>
    <t>104,80</t>
  </si>
  <si>
    <t>1. Кондратьев Павел (+МС)</t>
  </si>
  <si>
    <t>2. Мартынов Илья (+МС)</t>
  </si>
  <si>
    <t>Открытая (18.11.1989)/28</t>
  </si>
  <si>
    <t>162,5</t>
  </si>
  <si>
    <t>1. Тягунов Дмитрий (+КМС)</t>
  </si>
  <si>
    <t>Открытая (23.04.1990)/27</t>
  </si>
  <si>
    <t>124,00</t>
  </si>
  <si>
    <t>115,5780</t>
  </si>
  <si>
    <t>105,6217</t>
  </si>
  <si>
    <t>1. Логач Юлия (+КМС)</t>
  </si>
  <si>
    <t>Открытая (13.03.1989)/28</t>
  </si>
  <si>
    <t xml:space="preserve">Альхов С. </t>
  </si>
  <si>
    <t>1. Попова Ольга (+КМС)</t>
  </si>
  <si>
    <t>Ветераны 40 - 44 (23.08.1974)/43</t>
  </si>
  <si>
    <t>67,40</t>
  </si>
  <si>
    <t>1. Плаксин Артур (+КМС)</t>
  </si>
  <si>
    <t>Открытая (02.11.1989)/28</t>
  </si>
  <si>
    <t>72,60</t>
  </si>
  <si>
    <t>1. Бобунов Александр (+МС)</t>
  </si>
  <si>
    <t>Ветераны 45 - 49 (11.07.1972)/45</t>
  </si>
  <si>
    <t>1. Киреев Петр (+МСМК)</t>
  </si>
  <si>
    <t>Юниоры 20 - 23 (05.02.1996)/21</t>
  </si>
  <si>
    <t>88,20</t>
  </si>
  <si>
    <t>260,0</t>
  </si>
  <si>
    <t>267,5</t>
  </si>
  <si>
    <t>1. Альхов Сергей (+МС)</t>
  </si>
  <si>
    <t>Открытая (08.10.1984)/33</t>
  </si>
  <si>
    <t xml:space="preserve">Бобунов А. </t>
  </si>
  <si>
    <t>1. Портнов Олег (+МСМК)</t>
  </si>
  <si>
    <t>Юниоры 20 - 23 (23.12.1996)/20</t>
  </si>
  <si>
    <t>109,60</t>
  </si>
  <si>
    <t>1. Сластухина Ксения (+КМС)</t>
  </si>
  <si>
    <t>Открытая (06.05.1992)/25</t>
  </si>
  <si>
    <t>102,5</t>
  </si>
  <si>
    <t>Открытая (06.02.1983)/34</t>
  </si>
  <si>
    <t>51,20</t>
  </si>
  <si>
    <t>1. Кириллова Кристина (+3)</t>
  </si>
  <si>
    <t>Девушки 16 - 19 (05.07.1999)/18</t>
  </si>
  <si>
    <t>1. Таможников Андрей (+КМС)</t>
  </si>
  <si>
    <t>Юноши 16 - 19 (16.02.1998)/19</t>
  </si>
  <si>
    <t>66,50</t>
  </si>
  <si>
    <t>1. Назимов Виктор (+КМС)</t>
  </si>
  <si>
    <t>Открытая (03.01.1991)/26</t>
  </si>
  <si>
    <t>66,90</t>
  </si>
  <si>
    <t>1. Лопаткин Илья (+КМС)</t>
  </si>
  <si>
    <t>Открытая (21.06.1990)/27</t>
  </si>
  <si>
    <t>72,70</t>
  </si>
  <si>
    <t>202,5</t>
  </si>
  <si>
    <t>1. Зинкин Владислав (+1)</t>
  </si>
  <si>
    <t>1. Трунин Илья (+КМС)</t>
  </si>
  <si>
    <t>Юноши 16 - 19 (30.07.1999)/18</t>
  </si>
  <si>
    <t>1. Алексеев Сергей (+КМС)</t>
  </si>
  <si>
    <t>Юниоры 20 - 23 (14.06.1994)/23</t>
  </si>
  <si>
    <t>80,10</t>
  </si>
  <si>
    <t>212,5</t>
  </si>
  <si>
    <t>80,40</t>
  </si>
  <si>
    <t>2. Малёнкин Виктор (+КМС)</t>
  </si>
  <si>
    <t>Открытая (30.06.1988)/29</t>
  </si>
  <si>
    <t xml:space="preserve">Серпухов/Московская область </t>
  </si>
  <si>
    <t>1. Федюков Вадим (+1)</t>
  </si>
  <si>
    <t>Ветераны 40 - 44 (14.03.1976)/41</t>
  </si>
  <si>
    <t xml:space="preserve">Плаксин А.Н. </t>
  </si>
  <si>
    <t>1. Архипов Роман (+МС)</t>
  </si>
  <si>
    <t>2. Ступин Сергей (+КМС)</t>
  </si>
  <si>
    <t>Открытая (05.04.1985)/32</t>
  </si>
  <si>
    <t>2. Артемова Юлия (+1)</t>
  </si>
  <si>
    <t>Саратов</t>
  </si>
  <si>
    <t xml:space="preserve">Вольск/Саратовская область </t>
  </si>
  <si>
    <t>Gloss</t>
  </si>
  <si>
    <t>1. Трофимов Илья (+1)</t>
  </si>
  <si>
    <t>Мастера 40 - 49 (06.06.1975)/42</t>
  </si>
  <si>
    <t>1. Степанов Сергей (+МС)</t>
  </si>
  <si>
    <t>Открытая (28.10.1988)/29</t>
  </si>
  <si>
    <t>31,0</t>
  </si>
  <si>
    <t>2. Юрин Валерий (+1)</t>
  </si>
  <si>
    <t>Открытая (12.01.1990)/27</t>
  </si>
  <si>
    <t>78,35</t>
  </si>
  <si>
    <t>23,0</t>
  </si>
  <si>
    <t>1. Тулисов Александр (+3)</t>
  </si>
  <si>
    <t>Мастера 40 - 49 (23.05.1974)/43</t>
  </si>
  <si>
    <t>13,0</t>
  </si>
  <si>
    <t>1. Зотов Алексей (+МСМК)</t>
  </si>
  <si>
    <t>Открытая (05.07.1986)/31</t>
  </si>
  <si>
    <t>89,60</t>
  </si>
  <si>
    <t>1. Ступин Сергей (+КМС)</t>
  </si>
  <si>
    <t>1. Орехов Вячеслав (+МСМК)</t>
  </si>
  <si>
    <t>Открытая (11.06.1985)/32</t>
  </si>
  <si>
    <t>79,40</t>
  </si>
  <si>
    <t>44,0</t>
  </si>
  <si>
    <t>1. Бочкарев Олег (+КМС)</t>
  </si>
  <si>
    <t>Открытая (09.05.1980)/37</t>
  </si>
  <si>
    <t>90,00</t>
  </si>
  <si>
    <t>27,0</t>
  </si>
  <si>
    <t>1. Товмасян Лаерт (+1)</t>
  </si>
  <si>
    <t>Открытая (12.06.1988)/29</t>
  </si>
  <si>
    <t>117,00</t>
  </si>
  <si>
    <t>19,0</t>
  </si>
  <si>
    <t>Волга Power - 5 Народный жим
WPU Народный жим 1 вес
Саратов 8 - 9 декабря 2017 г.</t>
  </si>
  <si>
    <t>Волга Power - 5
WPU Пауэрлифтинг Классический
Саратов 8 - 9 декабря 2017 г.</t>
  </si>
  <si>
    <t>Волга Power - 5
WPU Пауэрлифтинг Безэкипировочный
Саратов 8 - 9 декабря 2017 г.</t>
  </si>
  <si>
    <t>Волга Power - 5
WPU Жим лежа Классический
Саратов 8 - 9 декабря 2017 г.</t>
  </si>
  <si>
    <t>Волга Power - 5
WPU Жим лежа Безэкипировочный
Саратов 8 - 9 декабря 2017 г.</t>
  </si>
  <si>
    <t>Волга Power - 5
WPU Жим лежа в Многослойной экипировке
Саратов 8 - 9 декабря 2017 г.</t>
  </si>
  <si>
    <t>Волга Power - 5
WPU Становая тяга Классическая
Саратов 8 - 9 декабря 2017 г.</t>
  </si>
  <si>
    <t>Волга Power - 5
WPU Становая тяга Безэкипировочная
Саратов 8 - 9 декабря 2017 г.</t>
  </si>
  <si>
    <t>Волга Power - 5 Народный жим
WPU с ДК Народный жим 1 вес
Саратов 8 - 9 декабря 2017 г.</t>
  </si>
  <si>
    <t>Волга Power - 5
WPU c ДК Пауэрлифтинг Классический
Саратов 8 - 9 декабря 2017 г.</t>
  </si>
  <si>
    <t>Волга Power - 5
WPU c ДК Пауэрлифтинг Безэкипировочный
Саратов 8 - 9 декабря 2017 г.</t>
  </si>
  <si>
    <t>Волга Power - 5
WPU c ДК Пауэрлифтинг в Однослойной экипировке
Саратов 8 - 9 декабря 2017 г.</t>
  </si>
  <si>
    <t>Волга Power - 5
WPU c ДК Жим лежа Классический
Саратов 8 - 9 декабря 2017 г.</t>
  </si>
  <si>
    <t>Волга Power - 5
WPU c ДК Жим лежа Безэкипировочный
Саратов 8 - 9 декабря 2017 г.</t>
  </si>
  <si>
    <t>Волга Power - 5
WPU c ДК Становая тяга Классическая
Саратов 8 - 9 декабря 2017 г.</t>
  </si>
  <si>
    <t>Волга Power - 5
WPU c ДК Становая тяга Безэкипировочная
Саратов 8 - 9 декабря 2017 г.</t>
  </si>
  <si>
    <t xml:space="preserve">Саляхов М. </t>
  </si>
  <si>
    <t>Саратовская</t>
  </si>
  <si>
    <t>Рахманов В.А.</t>
  </si>
  <si>
    <t>Саляхов М.</t>
  </si>
  <si>
    <t>Жуманьязов Ж.</t>
  </si>
  <si>
    <t xml:space="preserve">Туманов О. </t>
  </si>
  <si>
    <t xml:space="preserve">Зыков С. </t>
  </si>
  <si>
    <t>Гавриленко Е.А.</t>
  </si>
  <si>
    <t xml:space="preserve">Сулейманов Р. </t>
  </si>
  <si>
    <t xml:space="preserve">Андреев В.В. </t>
  </si>
  <si>
    <t>Лепешенков В.</t>
  </si>
  <si>
    <t>Зотов А.П.</t>
  </si>
  <si>
    <t>Конкин В.</t>
  </si>
  <si>
    <t xml:space="preserve">Коржинов Т. </t>
  </si>
  <si>
    <t xml:space="preserve">Гавриленко К. </t>
  </si>
  <si>
    <t>Гаганин Б.</t>
  </si>
  <si>
    <t>Маслов Н.И.</t>
  </si>
  <si>
    <t xml:space="preserve">Докторов Н.А. </t>
  </si>
  <si>
    <t>Клопков И.</t>
  </si>
  <si>
    <t xml:space="preserve">Конкин В. </t>
  </si>
  <si>
    <t>Гусев Р.</t>
  </si>
  <si>
    <t>Сескутов Т.В.</t>
  </si>
  <si>
    <t>Пензенская</t>
  </si>
  <si>
    <t>Московская</t>
  </si>
  <si>
    <t xml:space="preserve">Кучеров П. </t>
  </si>
  <si>
    <t xml:space="preserve">Киреев П. </t>
  </si>
  <si>
    <t>ДК отрицательный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</si>
</sst>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left"/>
    </xf>
    <xf numFmtId="49" fontId="9" fillId="0" borderId="26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34" borderId="11" xfId="0" applyNumberFormat="1" applyFont="1" applyFill="1" applyBorder="1" applyAlignment="1">
      <alignment horizontal="left"/>
    </xf>
    <xf numFmtId="49" fontId="0" fillId="34" borderId="11" xfId="0" applyNumberFormat="1" applyFont="1" applyFill="1" applyBorder="1" applyAlignment="1">
      <alignment horizontal="left"/>
    </xf>
    <xf numFmtId="49" fontId="0" fillId="34" borderId="11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left"/>
    </xf>
    <xf numFmtId="49" fontId="0" fillId="34" borderId="12" xfId="0" applyNumberFormat="1" applyFont="1" applyFill="1" applyBorder="1" applyAlignment="1">
      <alignment horizontal="left"/>
    </xf>
    <xf numFmtId="49" fontId="0" fillId="34" borderId="12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left"/>
    </xf>
    <xf numFmtId="49" fontId="0" fillId="34" borderId="13" xfId="0" applyNumberFormat="1" applyFont="1" applyFill="1" applyBorder="1" applyAlignment="1">
      <alignment horizontal="left"/>
    </xf>
    <xf numFmtId="49" fontId="0" fillId="34" borderId="13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4">
      <selection activeCell="N26" sqref="N26"/>
    </sheetView>
  </sheetViews>
  <sheetFormatPr defaultColWidth="9.00390625" defaultRowHeight="12.75"/>
  <cols>
    <col min="1" max="1" width="26.875" style="4" bestFit="1" customWidth="1"/>
    <col min="2" max="2" width="29.125" style="4" bestFit="1" customWidth="1"/>
    <col min="3" max="3" width="9.75390625" style="4" bestFit="1" customWidth="1"/>
    <col min="4" max="4" width="7.625" style="4" bestFit="1" customWidth="1"/>
    <col min="5" max="5" width="21.625" style="4" bestFit="1" customWidth="1"/>
    <col min="6" max="6" width="27.375" style="4" bestFit="1" customWidth="1"/>
    <col min="7" max="9" width="5.375" style="3" bestFit="1" customWidth="1"/>
    <col min="10" max="10" width="4.25390625" style="3" bestFit="1" customWidth="1"/>
    <col min="11" max="11" width="7.125" style="4" bestFit="1" customWidth="1"/>
    <col min="12" max="12" width="8.375" style="3" bestFit="1" customWidth="1"/>
    <col min="13" max="13" width="11.875" style="4" bestFit="1" customWidth="1"/>
    <col min="14" max="16384" width="9.125" style="3" customWidth="1"/>
  </cols>
  <sheetData>
    <row r="1" spans="1:13" s="2" customFormat="1" ht="28.5" customHeight="1">
      <c r="A1" s="40" t="s">
        <v>538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11</v>
      </c>
      <c r="D3" s="50" t="s">
        <v>12</v>
      </c>
      <c r="E3" s="50" t="s">
        <v>7</v>
      </c>
      <c r="F3" s="50" t="s">
        <v>10</v>
      </c>
      <c r="G3" s="50" t="s">
        <v>3</v>
      </c>
      <c r="H3" s="50"/>
      <c r="I3" s="50"/>
      <c r="J3" s="50"/>
      <c r="K3" s="50" t="s">
        <v>193</v>
      </c>
      <c r="L3" s="50" t="s">
        <v>6</v>
      </c>
      <c r="M3" s="34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0">
        <v>1</v>
      </c>
      <c r="H4" s="20">
        <v>2</v>
      </c>
      <c r="I4" s="20">
        <v>3</v>
      </c>
      <c r="J4" s="20" t="s">
        <v>8</v>
      </c>
      <c r="K4" s="49"/>
      <c r="L4" s="49"/>
      <c r="M4" s="35"/>
    </row>
    <row r="5" spans="1:12" ht="15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23" t="s">
        <v>436</v>
      </c>
      <c r="B6" s="5" t="s">
        <v>437</v>
      </c>
      <c r="C6" s="5" t="s">
        <v>288</v>
      </c>
      <c r="D6" s="5" t="str">
        <f>"1,1447"</f>
        <v>1,1447</v>
      </c>
      <c r="E6" s="5" t="s">
        <v>17</v>
      </c>
      <c r="F6" s="5" t="s">
        <v>18</v>
      </c>
      <c r="G6" s="6" t="s">
        <v>26</v>
      </c>
      <c r="H6" s="6" t="s">
        <v>37</v>
      </c>
      <c r="I6" s="7" t="s">
        <v>38</v>
      </c>
      <c r="J6" s="7"/>
      <c r="K6" s="23" t="str">
        <f>"112,5"</f>
        <v>112,5</v>
      </c>
      <c r="L6" s="27" t="str">
        <f>"128,7788"</f>
        <v>128,7788</v>
      </c>
      <c r="M6" s="5" t="s">
        <v>438</v>
      </c>
    </row>
    <row r="8" spans="1:12" ht="15">
      <c r="A8" s="38" t="s">
        <v>28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3" ht="12.75">
      <c r="A9" s="23" t="s">
        <v>439</v>
      </c>
      <c r="B9" s="5" t="s">
        <v>440</v>
      </c>
      <c r="C9" s="5" t="s">
        <v>441</v>
      </c>
      <c r="D9" s="5" t="str">
        <f>"1,0217"</f>
        <v>1,0217</v>
      </c>
      <c r="E9" s="5" t="s">
        <v>17</v>
      </c>
      <c r="F9" s="5" t="s">
        <v>18</v>
      </c>
      <c r="G9" s="6" t="s">
        <v>27</v>
      </c>
      <c r="H9" s="7" t="s">
        <v>43</v>
      </c>
      <c r="I9" s="6" t="s">
        <v>43</v>
      </c>
      <c r="J9" s="7"/>
      <c r="K9" s="23" t="str">
        <f>"120,0"</f>
        <v>120,0</v>
      </c>
      <c r="L9" s="27" t="str">
        <f>"126,4047"</f>
        <v>126,4047</v>
      </c>
      <c r="M9" s="5"/>
    </row>
    <row r="11" spans="1:12" ht="15">
      <c r="A11" s="38" t="s">
        <v>49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3" ht="12.75">
      <c r="A12" s="23" t="s">
        <v>442</v>
      </c>
      <c r="B12" s="5" t="s">
        <v>443</v>
      </c>
      <c r="C12" s="5" t="s">
        <v>444</v>
      </c>
      <c r="D12" s="5" t="str">
        <f>"0,7293"</f>
        <v>0,7293</v>
      </c>
      <c r="E12" s="5" t="s">
        <v>17</v>
      </c>
      <c r="F12" s="5" t="s">
        <v>18</v>
      </c>
      <c r="G12" s="7" t="s">
        <v>127</v>
      </c>
      <c r="H12" s="6" t="s">
        <v>127</v>
      </c>
      <c r="I12" s="7" t="s">
        <v>73</v>
      </c>
      <c r="J12" s="7"/>
      <c r="K12" s="23" t="str">
        <f>"200,0"</f>
        <v>200,0</v>
      </c>
      <c r="L12" s="27" t="str">
        <f>"145,8600"</f>
        <v>145,8600</v>
      </c>
      <c r="M12" s="5" t="s">
        <v>132</v>
      </c>
    </row>
    <row r="14" spans="1:12" ht="15">
      <c r="A14" s="38" t="s">
        <v>171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3" ht="12.75">
      <c r="A15" s="23" t="s">
        <v>445</v>
      </c>
      <c r="B15" s="5" t="s">
        <v>446</v>
      </c>
      <c r="C15" s="5" t="s">
        <v>348</v>
      </c>
      <c r="D15" s="5" t="str">
        <f>"0,6704"</f>
        <v>0,6704</v>
      </c>
      <c r="E15" s="5" t="s">
        <v>17</v>
      </c>
      <c r="F15" s="5" t="s">
        <v>18</v>
      </c>
      <c r="G15" s="6" t="s">
        <v>127</v>
      </c>
      <c r="H15" s="6" t="s">
        <v>128</v>
      </c>
      <c r="I15" s="6" t="s">
        <v>141</v>
      </c>
      <c r="J15" s="7"/>
      <c r="K15" s="23" t="str">
        <f>"225,0"</f>
        <v>225,0</v>
      </c>
      <c r="L15" s="27" t="str">
        <f>"159,1362"</f>
        <v>159,1362</v>
      </c>
      <c r="M15" s="5"/>
    </row>
    <row r="17" spans="1:12" ht="15">
      <c r="A17" s="38" t="s">
        <v>62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3" ht="12.75">
      <c r="A18" s="23" t="s">
        <v>447</v>
      </c>
      <c r="B18" s="5" t="s">
        <v>448</v>
      </c>
      <c r="C18" s="5" t="s">
        <v>449</v>
      </c>
      <c r="D18" s="5" t="str">
        <f>"0,6451"</f>
        <v>0,6451</v>
      </c>
      <c r="E18" s="5" t="s">
        <v>17</v>
      </c>
      <c r="F18" s="5" t="s">
        <v>18</v>
      </c>
      <c r="G18" s="6" t="s">
        <v>337</v>
      </c>
      <c r="H18" s="6" t="s">
        <v>450</v>
      </c>
      <c r="I18" s="6" t="s">
        <v>451</v>
      </c>
      <c r="J18" s="7"/>
      <c r="K18" s="23" t="str">
        <f>"267,5"</f>
        <v>267,5</v>
      </c>
      <c r="L18" s="27" t="str">
        <f>"172,5642"</f>
        <v>172,5642</v>
      </c>
      <c r="M18" s="5" t="s">
        <v>565</v>
      </c>
    </row>
    <row r="20" spans="1:12" ht="15">
      <c r="A20" s="38" t="s">
        <v>184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3" ht="12.75">
      <c r="A21" s="23" t="s">
        <v>452</v>
      </c>
      <c r="B21" s="5" t="s">
        <v>453</v>
      </c>
      <c r="C21" s="5" t="s">
        <v>360</v>
      </c>
      <c r="D21" s="5" t="str">
        <f>"0,6091"</f>
        <v>0,6091</v>
      </c>
      <c r="E21" s="5" t="s">
        <v>17</v>
      </c>
      <c r="F21" s="5" t="s">
        <v>18</v>
      </c>
      <c r="G21" s="6" t="s">
        <v>129</v>
      </c>
      <c r="H21" s="6" t="s">
        <v>130</v>
      </c>
      <c r="I21" s="6" t="s">
        <v>131</v>
      </c>
      <c r="J21" s="7"/>
      <c r="K21" s="23" t="str">
        <f>"245,0"</f>
        <v>245,0</v>
      </c>
      <c r="L21" s="27" t="str">
        <f>"149,2295"</f>
        <v>149,2295</v>
      </c>
      <c r="M21" s="5" t="s">
        <v>454</v>
      </c>
    </row>
    <row r="23" spans="1:12" ht="15">
      <c r="A23" s="38" t="s">
        <v>69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3" ht="12.75">
      <c r="A24" s="23" t="s">
        <v>455</v>
      </c>
      <c r="B24" s="5" t="s">
        <v>456</v>
      </c>
      <c r="C24" s="5" t="s">
        <v>457</v>
      </c>
      <c r="D24" s="5" t="str">
        <f>"0,5892"</f>
        <v>0,5892</v>
      </c>
      <c r="E24" s="5" t="s">
        <v>17</v>
      </c>
      <c r="F24" s="5" t="s">
        <v>18</v>
      </c>
      <c r="G24" s="6" t="s">
        <v>76</v>
      </c>
      <c r="H24" s="6" t="s">
        <v>270</v>
      </c>
      <c r="I24" s="6" t="s">
        <v>78</v>
      </c>
      <c r="J24" s="7"/>
      <c r="K24" s="23" t="str">
        <f>"300,0"</f>
        <v>300,0</v>
      </c>
      <c r="L24" s="27" t="str">
        <f>"176,7600"</f>
        <v>176,7600</v>
      </c>
      <c r="M24" s="5" t="s">
        <v>132</v>
      </c>
    </row>
    <row r="26" ht="15">
      <c r="E26" s="14" t="s">
        <v>79</v>
      </c>
    </row>
    <row r="27" ht="15">
      <c r="E27" s="14" t="s">
        <v>80</v>
      </c>
    </row>
    <row r="28" ht="15">
      <c r="E28" s="14" t="s">
        <v>81</v>
      </c>
    </row>
    <row r="29" ht="15">
      <c r="E29" s="14" t="s">
        <v>82</v>
      </c>
    </row>
    <row r="30" ht="15">
      <c r="E30" s="14" t="s">
        <v>82</v>
      </c>
    </row>
    <row r="31" ht="15">
      <c r="E31" s="14" t="s">
        <v>83</v>
      </c>
    </row>
    <row r="32" ht="15">
      <c r="E32" s="14"/>
    </row>
  </sheetData>
  <sheetProtection/>
  <mergeCells count="18">
    <mergeCell ref="A14:L14"/>
    <mergeCell ref="A17:L17"/>
    <mergeCell ref="A20:L20"/>
    <mergeCell ref="A23:L23"/>
    <mergeCell ref="K3:K4"/>
    <mergeCell ref="L3:L4"/>
    <mergeCell ref="F3:F4"/>
    <mergeCell ref="G3:J3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B1">
      <selection activeCell="M31" sqref="M31"/>
    </sheetView>
  </sheetViews>
  <sheetFormatPr defaultColWidth="9.00390625" defaultRowHeight="12.75"/>
  <cols>
    <col min="1" max="1" width="25.625" style="4" bestFit="1" customWidth="1"/>
    <col min="2" max="2" width="29.125" style="4" bestFit="1" customWidth="1"/>
    <col min="3" max="3" width="9.75390625" style="4" bestFit="1" customWidth="1"/>
    <col min="4" max="4" width="7.625" style="4" bestFit="1" customWidth="1"/>
    <col min="5" max="5" width="21.625" style="4" bestFit="1" customWidth="1"/>
    <col min="6" max="6" width="27.375" style="4" bestFit="1" customWidth="1"/>
    <col min="7" max="9" width="5.375" style="3" bestFit="1" customWidth="1"/>
    <col min="10" max="10" width="4.25390625" style="3" bestFit="1" customWidth="1"/>
    <col min="11" max="11" width="12.125" style="4" customWidth="1"/>
    <col min="12" max="12" width="8.375" style="3" bestFit="1" customWidth="1"/>
    <col min="13" max="13" width="28.00390625" style="4" bestFit="1" customWidth="1"/>
    <col min="14" max="16384" width="9.125" style="3" customWidth="1"/>
  </cols>
  <sheetData>
    <row r="1" spans="1:13" s="2" customFormat="1" ht="28.5" customHeight="1">
      <c r="A1" s="40" t="s">
        <v>531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11</v>
      </c>
      <c r="D3" s="50" t="s">
        <v>12</v>
      </c>
      <c r="E3" s="50" t="s">
        <v>7</v>
      </c>
      <c r="F3" s="50" t="s">
        <v>10</v>
      </c>
      <c r="G3" s="50" t="s">
        <v>3</v>
      </c>
      <c r="H3" s="50"/>
      <c r="I3" s="50"/>
      <c r="J3" s="50"/>
      <c r="K3" s="50" t="s">
        <v>193</v>
      </c>
      <c r="L3" s="50" t="s">
        <v>6</v>
      </c>
      <c r="M3" s="34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0">
        <v>1</v>
      </c>
      <c r="H4" s="20">
        <v>2</v>
      </c>
      <c r="I4" s="20">
        <v>3</v>
      </c>
      <c r="J4" s="20" t="s">
        <v>8</v>
      </c>
      <c r="K4" s="49"/>
      <c r="L4" s="49"/>
      <c r="M4" s="35"/>
    </row>
    <row r="5" spans="1:12" ht="15">
      <c r="A5" s="36" t="s">
        <v>194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23" t="s">
        <v>252</v>
      </c>
      <c r="B6" s="5" t="s">
        <v>253</v>
      </c>
      <c r="C6" s="5" t="s">
        <v>254</v>
      </c>
      <c r="D6" s="5" t="str">
        <f>"1,3285"</f>
        <v>1,3285</v>
      </c>
      <c r="E6" s="5" t="s">
        <v>17</v>
      </c>
      <c r="F6" s="5" t="s">
        <v>18</v>
      </c>
      <c r="G6" s="6" t="s">
        <v>32</v>
      </c>
      <c r="H6" s="6" t="s">
        <v>25</v>
      </c>
      <c r="I6" s="6" t="s">
        <v>36</v>
      </c>
      <c r="J6" s="7"/>
      <c r="K6" s="23" t="str">
        <f>"107,5"</f>
        <v>107,5</v>
      </c>
      <c r="L6" s="27" t="str">
        <f>"142,8138"</f>
        <v>142,8138</v>
      </c>
      <c r="M6" s="5" t="s">
        <v>547</v>
      </c>
    </row>
    <row r="8" spans="1:12" ht="15">
      <c r="A8" s="38" t="s">
        <v>13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3" ht="12.75">
      <c r="A9" s="21" t="s">
        <v>255</v>
      </c>
      <c r="B9" s="8" t="s">
        <v>15</v>
      </c>
      <c r="C9" s="8" t="s">
        <v>16</v>
      </c>
      <c r="D9" s="8" t="str">
        <f>"1,1266"</f>
        <v>1,1266</v>
      </c>
      <c r="E9" s="8" t="s">
        <v>17</v>
      </c>
      <c r="F9" s="8" t="s">
        <v>18</v>
      </c>
      <c r="G9" s="9" t="s">
        <v>42</v>
      </c>
      <c r="H9" s="9" t="s">
        <v>27</v>
      </c>
      <c r="I9" s="10" t="s">
        <v>204</v>
      </c>
      <c r="J9" s="10"/>
      <c r="K9" s="21" t="str">
        <f>"110,0"</f>
        <v>110,0</v>
      </c>
      <c r="L9" s="25" t="str">
        <f>"123,9260"</f>
        <v>123,9260</v>
      </c>
      <c r="M9" s="8"/>
    </row>
    <row r="10" spans="1:13" ht="12.75">
      <c r="A10" s="22" t="s">
        <v>256</v>
      </c>
      <c r="B10" s="11" t="s">
        <v>257</v>
      </c>
      <c r="C10" s="11" t="s">
        <v>258</v>
      </c>
      <c r="D10" s="11" t="str">
        <f>"1,1149"</f>
        <v>1,1149</v>
      </c>
      <c r="E10" s="11" t="s">
        <v>17</v>
      </c>
      <c r="F10" s="11" t="s">
        <v>18</v>
      </c>
      <c r="G10" s="12" t="s">
        <v>20</v>
      </c>
      <c r="H10" s="12" t="s">
        <v>21</v>
      </c>
      <c r="I10" s="12" t="s">
        <v>25</v>
      </c>
      <c r="J10" s="13"/>
      <c r="K10" s="22" t="str">
        <f>"95,0"</f>
        <v>95,0</v>
      </c>
      <c r="L10" s="26" t="str">
        <f>"129,7465"</f>
        <v>129,7465</v>
      </c>
      <c r="M10" s="11" t="s">
        <v>132</v>
      </c>
    </row>
    <row r="12" spans="1:12" ht="15">
      <c r="A12" s="38" t="s">
        <v>28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3" ht="12.75">
      <c r="A13" s="23" t="s">
        <v>206</v>
      </c>
      <c r="B13" s="5" t="s">
        <v>207</v>
      </c>
      <c r="C13" s="5" t="s">
        <v>208</v>
      </c>
      <c r="D13" s="5" t="str">
        <f>"0,8025"</f>
        <v>0,8025</v>
      </c>
      <c r="E13" s="5" t="s">
        <v>17</v>
      </c>
      <c r="F13" s="5" t="s">
        <v>18</v>
      </c>
      <c r="G13" s="6" t="s">
        <v>43</v>
      </c>
      <c r="H13" s="6" t="s">
        <v>53</v>
      </c>
      <c r="I13" s="7" t="s">
        <v>204</v>
      </c>
      <c r="J13" s="7"/>
      <c r="K13" s="23" t="str">
        <f>"140,0"</f>
        <v>140,0</v>
      </c>
      <c r="L13" s="27" t="str">
        <f>"112,3500"</f>
        <v>112,3500</v>
      </c>
      <c r="M13" s="5"/>
    </row>
    <row r="15" spans="1:12" ht="15">
      <c r="A15" s="38" t="s">
        <v>49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3" ht="12.75">
      <c r="A16" s="23" t="s">
        <v>259</v>
      </c>
      <c r="B16" s="5" t="s">
        <v>51</v>
      </c>
      <c r="C16" s="5" t="s">
        <v>52</v>
      </c>
      <c r="D16" s="5" t="str">
        <f>"0,7478"</f>
        <v>0,7478</v>
      </c>
      <c r="E16" s="5" t="s">
        <v>17</v>
      </c>
      <c r="F16" s="5" t="s">
        <v>18</v>
      </c>
      <c r="G16" s="6" t="s">
        <v>56</v>
      </c>
      <c r="H16" s="6" t="s">
        <v>121</v>
      </c>
      <c r="I16" s="7" t="s">
        <v>127</v>
      </c>
      <c r="J16" s="7"/>
      <c r="K16" s="23" t="str">
        <f>"190,0"</f>
        <v>190,0</v>
      </c>
      <c r="L16" s="27" t="str">
        <f>"142,0820"</f>
        <v>142,0820</v>
      </c>
      <c r="M16" s="5"/>
    </row>
    <row r="18" spans="1:12" ht="15">
      <c r="A18" s="38" t="s">
        <v>62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3" ht="12.75">
      <c r="A19" s="21" t="s">
        <v>260</v>
      </c>
      <c r="B19" s="8" t="s">
        <v>261</v>
      </c>
      <c r="C19" s="8" t="s">
        <v>262</v>
      </c>
      <c r="D19" s="8" t="str">
        <f>"0,6570"</f>
        <v>0,6570</v>
      </c>
      <c r="E19" s="8" t="s">
        <v>17</v>
      </c>
      <c r="F19" s="8" t="s">
        <v>18</v>
      </c>
      <c r="G19" s="9" t="s">
        <v>129</v>
      </c>
      <c r="H19" s="9" t="s">
        <v>147</v>
      </c>
      <c r="I19" s="9" t="s">
        <v>91</v>
      </c>
      <c r="J19" s="10"/>
      <c r="K19" s="21" t="str">
        <f>"252,5"</f>
        <v>252,5</v>
      </c>
      <c r="L19" s="25" t="str">
        <f>"165,8925"</f>
        <v>165,8925</v>
      </c>
      <c r="M19" s="8"/>
    </row>
    <row r="20" spans="1:13" ht="12.75">
      <c r="A20" s="22" t="s">
        <v>263</v>
      </c>
      <c r="B20" s="11" t="s">
        <v>264</v>
      </c>
      <c r="C20" s="11" t="s">
        <v>265</v>
      </c>
      <c r="D20" s="11" t="str">
        <f>"0,6575"</f>
        <v>0,6575</v>
      </c>
      <c r="E20" s="11" t="s">
        <v>17</v>
      </c>
      <c r="F20" s="11" t="s">
        <v>18</v>
      </c>
      <c r="G20" s="12" t="s">
        <v>46</v>
      </c>
      <c r="H20" s="12" t="s">
        <v>68</v>
      </c>
      <c r="I20" s="12" t="s">
        <v>121</v>
      </c>
      <c r="J20" s="13"/>
      <c r="K20" s="22" t="str">
        <f>"190,0"</f>
        <v>190,0</v>
      </c>
      <c r="L20" s="26" t="str">
        <f>"124,9250"</f>
        <v>124,9250</v>
      </c>
      <c r="M20" s="11"/>
    </row>
    <row r="22" spans="1:12" ht="15">
      <c r="A22" s="38" t="s">
        <v>184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3" ht="12.75">
      <c r="A23" s="21" t="s">
        <v>267</v>
      </c>
      <c r="B23" s="8" t="s">
        <v>268</v>
      </c>
      <c r="C23" s="8" t="s">
        <v>269</v>
      </c>
      <c r="D23" s="8" t="str">
        <f>"0,6116"</f>
        <v>0,6116</v>
      </c>
      <c r="E23" s="8" t="s">
        <v>17</v>
      </c>
      <c r="F23" s="8" t="s">
        <v>18</v>
      </c>
      <c r="G23" s="9" t="s">
        <v>270</v>
      </c>
      <c r="H23" s="9" t="s">
        <v>78</v>
      </c>
      <c r="I23" s="10"/>
      <c r="J23" s="10"/>
      <c r="K23" s="21" t="str">
        <f>"300,0"</f>
        <v>300,0</v>
      </c>
      <c r="L23" s="25" t="str">
        <f>"183,4800"</f>
        <v>183,4800</v>
      </c>
      <c r="M23" s="8"/>
    </row>
    <row r="24" spans="1:13" ht="12.75">
      <c r="A24" s="22" t="s">
        <v>271</v>
      </c>
      <c r="B24" s="11" t="s">
        <v>272</v>
      </c>
      <c r="C24" s="11" t="s">
        <v>273</v>
      </c>
      <c r="D24" s="11" t="str">
        <f>"0,6295"</f>
        <v>0,6295</v>
      </c>
      <c r="E24" s="11" t="s">
        <v>17</v>
      </c>
      <c r="F24" s="11" t="s">
        <v>18</v>
      </c>
      <c r="G24" s="12" t="s">
        <v>76</v>
      </c>
      <c r="H24" s="13" t="s">
        <v>270</v>
      </c>
      <c r="I24" s="13" t="s">
        <v>270</v>
      </c>
      <c r="J24" s="13"/>
      <c r="K24" s="22" t="str">
        <f>"270,0"</f>
        <v>270,0</v>
      </c>
      <c r="L24" s="26" t="str">
        <f>"169,9650"</f>
        <v>169,9650</v>
      </c>
      <c r="M24" s="11" t="s">
        <v>548</v>
      </c>
    </row>
    <row r="26" spans="1:12" ht="15">
      <c r="A26" s="38" t="s">
        <v>69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3" ht="12.75">
      <c r="A27" s="23" t="s">
        <v>275</v>
      </c>
      <c r="B27" s="5" t="s">
        <v>190</v>
      </c>
      <c r="C27" s="5" t="s">
        <v>276</v>
      </c>
      <c r="D27" s="5" t="str">
        <f>"0,6002"</f>
        <v>0,6002</v>
      </c>
      <c r="E27" s="5" t="s">
        <v>17</v>
      </c>
      <c r="F27" s="5" t="s">
        <v>18</v>
      </c>
      <c r="G27" s="6" t="s">
        <v>277</v>
      </c>
      <c r="H27" s="7" t="s">
        <v>148</v>
      </c>
      <c r="I27" s="6" t="s">
        <v>148</v>
      </c>
      <c r="J27" s="7"/>
      <c r="K27" s="23" t="str">
        <f>"340,0"</f>
        <v>340,0</v>
      </c>
      <c r="L27" s="27" t="str">
        <f>"204,0680"</f>
        <v>204,0680</v>
      </c>
      <c r="M27" s="5" t="s">
        <v>549</v>
      </c>
    </row>
    <row r="29" spans="1:12" ht="15">
      <c r="A29" s="38" t="s">
        <v>228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3" ht="12.75">
      <c r="A30" s="23" t="s">
        <v>279</v>
      </c>
      <c r="B30" s="5" t="s">
        <v>280</v>
      </c>
      <c r="C30" s="5" t="s">
        <v>281</v>
      </c>
      <c r="D30" s="5" t="str">
        <f>"0,5836"</f>
        <v>0,5836</v>
      </c>
      <c r="E30" s="5" t="s">
        <v>17</v>
      </c>
      <c r="F30" s="5" t="s">
        <v>18</v>
      </c>
      <c r="G30" s="6" t="s">
        <v>78</v>
      </c>
      <c r="H30" s="6" t="s">
        <v>282</v>
      </c>
      <c r="I30" s="7" t="s">
        <v>149</v>
      </c>
      <c r="J30" s="7"/>
      <c r="K30" s="23" t="str">
        <f>"320,0"</f>
        <v>320,0</v>
      </c>
      <c r="L30" s="27" t="str">
        <f>"186,7520"</f>
        <v>186,7520</v>
      </c>
      <c r="M30" s="5" t="s">
        <v>544</v>
      </c>
    </row>
    <row r="32" ht="15">
      <c r="E32" s="14" t="s">
        <v>79</v>
      </c>
    </row>
    <row r="33" ht="15">
      <c r="E33" s="14" t="s">
        <v>80</v>
      </c>
    </row>
    <row r="34" ht="15">
      <c r="E34" s="14" t="s">
        <v>81</v>
      </c>
    </row>
    <row r="35" ht="15">
      <c r="E35" s="14" t="s">
        <v>82</v>
      </c>
    </row>
    <row r="36" ht="15">
      <c r="E36" s="14" t="s">
        <v>82</v>
      </c>
    </row>
    <row r="37" ht="15">
      <c r="E37" s="14" t="s">
        <v>83</v>
      </c>
    </row>
    <row r="38" ht="15">
      <c r="E38" s="14"/>
    </row>
    <row r="40" spans="1:2" ht="18">
      <c r="A40" s="32" t="s">
        <v>84</v>
      </c>
      <c r="B40" s="32"/>
    </row>
    <row r="41" spans="1:2" ht="15">
      <c r="A41" s="33" t="s">
        <v>94</v>
      </c>
      <c r="B41" s="33"/>
    </row>
    <row r="42" spans="1:2" ht="12" customHeight="1">
      <c r="A42" s="52" t="s">
        <v>92</v>
      </c>
      <c r="B42" s="52"/>
    </row>
    <row r="43" spans="1:5" ht="15">
      <c r="A43" s="15" t="s">
        <v>85</v>
      </c>
      <c r="B43" s="15" t="s">
        <v>86</v>
      </c>
      <c r="C43" s="15" t="s">
        <v>87</v>
      </c>
      <c r="D43" s="15" t="s">
        <v>88</v>
      </c>
      <c r="E43" s="15" t="s">
        <v>89</v>
      </c>
    </row>
    <row r="44" spans="1:5" ht="12.75">
      <c r="A44" s="29" t="s">
        <v>274</v>
      </c>
      <c r="B44" s="4" t="s">
        <v>92</v>
      </c>
      <c r="C44" s="4" t="s">
        <v>27</v>
      </c>
      <c r="D44" s="16" t="s">
        <v>148</v>
      </c>
      <c r="E44" s="16" t="s">
        <v>283</v>
      </c>
    </row>
    <row r="45" spans="1:5" ht="12.75">
      <c r="A45" s="29" t="s">
        <v>278</v>
      </c>
      <c r="B45" s="4" t="s">
        <v>92</v>
      </c>
      <c r="C45" s="4" t="s">
        <v>116</v>
      </c>
      <c r="D45" s="16" t="s">
        <v>282</v>
      </c>
      <c r="E45" s="16" t="s">
        <v>284</v>
      </c>
    </row>
    <row r="46" spans="1:5" ht="12.75">
      <c r="A46" s="29" t="s">
        <v>266</v>
      </c>
      <c r="B46" s="4" t="s">
        <v>92</v>
      </c>
      <c r="C46" s="4" t="s">
        <v>42</v>
      </c>
      <c r="D46" s="16" t="s">
        <v>78</v>
      </c>
      <c r="E46" s="16" t="s">
        <v>285</v>
      </c>
    </row>
  </sheetData>
  <sheetProtection/>
  <mergeCells count="20">
    <mergeCell ref="E3:E4"/>
    <mergeCell ref="A15:L15"/>
    <mergeCell ref="A18:L18"/>
    <mergeCell ref="A22:L22"/>
    <mergeCell ref="A26:L26"/>
    <mergeCell ref="A29:L29"/>
    <mergeCell ref="K3:K4"/>
    <mergeCell ref="L3:L4"/>
    <mergeCell ref="F3:F4"/>
    <mergeCell ref="G3:J3"/>
    <mergeCell ref="A42:B42"/>
    <mergeCell ref="M3:M4"/>
    <mergeCell ref="A5:L5"/>
    <mergeCell ref="A8:L8"/>
    <mergeCell ref="A12:L12"/>
    <mergeCell ref="A1:M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4">
      <selection activeCell="M21" sqref="M21"/>
    </sheetView>
  </sheetViews>
  <sheetFormatPr defaultColWidth="9.00390625" defaultRowHeight="12.75"/>
  <cols>
    <col min="1" max="1" width="26.375" style="4" bestFit="1" customWidth="1"/>
    <col min="2" max="2" width="29.125" style="4" bestFit="1" customWidth="1"/>
    <col min="3" max="3" width="9.75390625" style="4" bestFit="1" customWidth="1"/>
    <col min="4" max="4" width="7.625" style="4" bestFit="1" customWidth="1"/>
    <col min="5" max="5" width="21.625" style="4" bestFit="1" customWidth="1"/>
    <col min="6" max="6" width="27.375" style="4" bestFit="1" customWidth="1"/>
    <col min="7" max="9" width="5.375" style="3" bestFit="1" customWidth="1"/>
    <col min="10" max="10" width="4.25390625" style="3" bestFit="1" customWidth="1"/>
    <col min="11" max="11" width="12.125" style="4" customWidth="1"/>
    <col min="12" max="12" width="8.375" style="3" bestFit="1" customWidth="1"/>
    <col min="13" max="13" width="13.625" style="4" bestFit="1" customWidth="1"/>
    <col min="14" max="16384" width="9.125" style="3" customWidth="1"/>
  </cols>
  <sheetData>
    <row r="1" spans="1:13" s="2" customFormat="1" ht="28.5" customHeight="1">
      <c r="A1" s="40" t="s">
        <v>527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11</v>
      </c>
      <c r="D3" s="50" t="s">
        <v>12</v>
      </c>
      <c r="E3" s="50" t="s">
        <v>7</v>
      </c>
      <c r="F3" s="50" t="s">
        <v>10</v>
      </c>
      <c r="G3" s="50" t="s">
        <v>2</v>
      </c>
      <c r="H3" s="50"/>
      <c r="I3" s="50"/>
      <c r="J3" s="50"/>
      <c r="K3" s="50" t="s">
        <v>193</v>
      </c>
      <c r="L3" s="50" t="s">
        <v>6</v>
      </c>
      <c r="M3" s="34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0">
        <v>1</v>
      </c>
      <c r="H4" s="20">
        <v>2</v>
      </c>
      <c r="I4" s="20">
        <v>3</v>
      </c>
      <c r="J4" s="20" t="s">
        <v>8</v>
      </c>
      <c r="K4" s="49"/>
      <c r="L4" s="49"/>
      <c r="M4" s="35"/>
    </row>
    <row r="5" spans="1:12" ht="15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23" t="s">
        <v>150</v>
      </c>
      <c r="B6" s="5" t="s">
        <v>151</v>
      </c>
      <c r="C6" s="5" t="s">
        <v>152</v>
      </c>
      <c r="D6" s="5" t="str">
        <f>"1,1178"</f>
        <v>1,1178</v>
      </c>
      <c r="E6" s="5" t="s">
        <v>17</v>
      </c>
      <c r="F6" s="5" t="s">
        <v>18</v>
      </c>
      <c r="G6" s="6" t="s">
        <v>153</v>
      </c>
      <c r="H6" s="6" t="s">
        <v>102</v>
      </c>
      <c r="I6" s="6" t="s">
        <v>35</v>
      </c>
      <c r="J6" s="7"/>
      <c r="K6" s="23" t="str">
        <f>"50,0"</f>
        <v>50,0</v>
      </c>
      <c r="L6" s="27" t="str">
        <f>"55,8900"</f>
        <v>55,8900</v>
      </c>
      <c r="M6" s="5" t="s">
        <v>48</v>
      </c>
    </row>
    <row r="8" spans="1:12" ht="15">
      <c r="A8" s="38" t="s">
        <v>108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3" ht="12.75">
      <c r="A9" s="21" t="s">
        <v>154</v>
      </c>
      <c r="B9" s="8" t="s">
        <v>155</v>
      </c>
      <c r="C9" s="8" t="s">
        <v>156</v>
      </c>
      <c r="D9" s="8" t="str">
        <f>"0,9547"</f>
        <v>0,9547</v>
      </c>
      <c r="E9" s="8" t="s">
        <v>17</v>
      </c>
      <c r="F9" s="8" t="s">
        <v>18</v>
      </c>
      <c r="G9" s="9" t="s">
        <v>101</v>
      </c>
      <c r="H9" s="9" t="s">
        <v>102</v>
      </c>
      <c r="I9" s="10" t="s">
        <v>34</v>
      </c>
      <c r="J9" s="10"/>
      <c r="K9" s="21" t="str">
        <f>"40,0"</f>
        <v>40,0</v>
      </c>
      <c r="L9" s="25" t="str">
        <f>"38,1880"</f>
        <v>38,1880</v>
      </c>
      <c r="M9" s="8" t="s">
        <v>132</v>
      </c>
    </row>
    <row r="10" spans="1:13" ht="12.75">
      <c r="A10" s="22" t="s">
        <v>157</v>
      </c>
      <c r="B10" s="11" t="s">
        <v>158</v>
      </c>
      <c r="C10" s="11" t="s">
        <v>159</v>
      </c>
      <c r="D10" s="11" t="str">
        <f>"1,3354"</f>
        <v>1,3354</v>
      </c>
      <c r="E10" s="11" t="s">
        <v>17</v>
      </c>
      <c r="F10" s="11" t="s">
        <v>18</v>
      </c>
      <c r="G10" s="12" t="s">
        <v>160</v>
      </c>
      <c r="H10" s="12" t="s">
        <v>161</v>
      </c>
      <c r="I10" s="13" t="s">
        <v>153</v>
      </c>
      <c r="J10" s="13"/>
      <c r="K10" s="22" t="str">
        <f>"27,5"</f>
        <v>27,5</v>
      </c>
      <c r="L10" s="26" t="str">
        <f>"36,7235"</f>
        <v>36,7235</v>
      </c>
      <c r="M10" s="11" t="s">
        <v>132</v>
      </c>
    </row>
    <row r="12" spans="1:12" ht="15">
      <c r="A12" s="38" t="s">
        <v>28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3" ht="12.75">
      <c r="A13" s="23" t="s">
        <v>162</v>
      </c>
      <c r="B13" s="5" t="s">
        <v>163</v>
      </c>
      <c r="C13" s="5" t="s">
        <v>164</v>
      </c>
      <c r="D13" s="5" t="str">
        <f>"0,7756"</f>
        <v>0,7756</v>
      </c>
      <c r="E13" s="5" t="s">
        <v>17</v>
      </c>
      <c r="F13" s="5" t="s">
        <v>18</v>
      </c>
      <c r="G13" s="6" t="s">
        <v>24</v>
      </c>
      <c r="H13" s="6" t="s">
        <v>90</v>
      </c>
      <c r="I13" s="6" t="s">
        <v>165</v>
      </c>
      <c r="J13" s="7"/>
      <c r="K13" s="23" t="str">
        <f>"65,0"</f>
        <v>65,0</v>
      </c>
      <c r="L13" s="27" t="str">
        <f>"50,4140"</f>
        <v>50,4140</v>
      </c>
      <c r="M13" s="5" t="s">
        <v>132</v>
      </c>
    </row>
    <row r="15" spans="1:12" ht="15">
      <c r="A15" s="38" t="s">
        <v>49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3" ht="12.75">
      <c r="A16" s="21" t="s">
        <v>166</v>
      </c>
      <c r="B16" s="8" t="s">
        <v>167</v>
      </c>
      <c r="C16" s="8" t="s">
        <v>168</v>
      </c>
      <c r="D16" s="8" t="str">
        <f>"0,7494"</f>
        <v>0,7494</v>
      </c>
      <c r="E16" s="8" t="s">
        <v>17</v>
      </c>
      <c r="F16" s="8" t="s">
        <v>18</v>
      </c>
      <c r="G16" s="9" t="s">
        <v>24</v>
      </c>
      <c r="H16" s="9" t="s">
        <v>90</v>
      </c>
      <c r="I16" s="10" t="s">
        <v>165</v>
      </c>
      <c r="J16" s="10"/>
      <c r="K16" s="21" t="str">
        <f>"60,0"</f>
        <v>60,0</v>
      </c>
      <c r="L16" s="25" t="str">
        <f>"44,9640"</f>
        <v>44,9640</v>
      </c>
      <c r="M16" s="8" t="s">
        <v>132</v>
      </c>
    </row>
    <row r="17" spans="1:13" ht="12.75">
      <c r="A17" s="22" t="s">
        <v>169</v>
      </c>
      <c r="B17" s="11" t="s">
        <v>170</v>
      </c>
      <c r="C17" s="11" t="s">
        <v>124</v>
      </c>
      <c r="D17" s="11" t="str">
        <f>"0,7264"</f>
        <v>0,7264</v>
      </c>
      <c r="E17" s="11" t="s">
        <v>17</v>
      </c>
      <c r="F17" s="11" t="s">
        <v>18</v>
      </c>
      <c r="G17" s="12" t="s">
        <v>32</v>
      </c>
      <c r="H17" s="12" t="s">
        <v>33</v>
      </c>
      <c r="I17" s="13" t="s">
        <v>25</v>
      </c>
      <c r="J17" s="13"/>
      <c r="K17" s="22" t="str">
        <f>"90,0"</f>
        <v>90,0</v>
      </c>
      <c r="L17" s="26" t="str">
        <f>"65,3760"</f>
        <v>65,3760</v>
      </c>
      <c r="M17" s="11" t="s">
        <v>132</v>
      </c>
    </row>
    <row r="19" spans="1:12" ht="15">
      <c r="A19" s="53" t="s">
        <v>171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3" ht="12.75">
      <c r="A20" s="21" t="s">
        <v>172</v>
      </c>
      <c r="B20" s="8" t="s">
        <v>173</v>
      </c>
      <c r="C20" s="8" t="s">
        <v>174</v>
      </c>
      <c r="D20" s="8" t="str">
        <f>"0,7017"</f>
        <v>0,7017</v>
      </c>
      <c r="E20" s="8" t="s">
        <v>17</v>
      </c>
      <c r="F20" s="8" t="s">
        <v>18</v>
      </c>
      <c r="G20" s="9" t="s">
        <v>42</v>
      </c>
      <c r="H20" s="10" t="s">
        <v>27</v>
      </c>
      <c r="I20" s="10" t="s">
        <v>27</v>
      </c>
      <c r="J20" s="10"/>
      <c r="K20" s="21" t="str">
        <f>"100,0"</f>
        <v>100,0</v>
      </c>
      <c r="L20" s="25" t="str">
        <f>"70,1700"</f>
        <v>70,1700</v>
      </c>
      <c r="M20" s="8" t="s">
        <v>546</v>
      </c>
    </row>
    <row r="21" spans="1:13" ht="12.75">
      <c r="A21" s="22" t="s">
        <v>175</v>
      </c>
      <c r="B21" s="11" t="s">
        <v>176</v>
      </c>
      <c r="C21" s="11" t="s">
        <v>177</v>
      </c>
      <c r="D21" s="11" t="str">
        <f>"0,6827"</f>
        <v>0,6827</v>
      </c>
      <c r="E21" s="11" t="s">
        <v>17</v>
      </c>
      <c r="F21" s="11" t="s">
        <v>18</v>
      </c>
      <c r="G21" s="12" t="s">
        <v>178</v>
      </c>
      <c r="H21" s="12" t="s">
        <v>179</v>
      </c>
      <c r="I21" s="13" t="s">
        <v>180</v>
      </c>
      <c r="J21" s="13"/>
      <c r="K21" s="22" t="str">
        <f>"127,5"</f>
        <v>127,5</v>
      </c>
      <c r="L21" s="26" t="str">
        <f>"131,5239"</f>
        <v>131,5239</v>
      </c>
      <c r="M21" s="11" t="s">
        <v>132</v>
      </c>
    </row>
    <row r="23" spans="1:12" ht="15">
      <c r="A23" s="38" t="s">
        <v>62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3" ht="12.75">
      <c r="A24" s="23" t="s">
        <v>181</v>
      </c>
      <c r="B24" s="5" t="s">
        <v>182</v>
      </c>
      <c r="C24" s="5" t="s">
        <v>183</v>
      </c>
      <c r="D24" s="5" t="str">
        <f>"0,6417"</f>
        <v>0,6417</v>
      </c>
      <c r="E24" s="5" t="s">
        <v>125</v>
      </c>
      <c r="F24" s="5" t="s">
        <v>126</v>
      </c>
      <c r="G24" s="7" t="s">
        <v>139</v>
      </c>
      <c r="H24" s="6" t="s">
        <v>139</v>
      </c>
      <c r="I24" s="6" t="s">
        <v>45</v>
      </c>
      <c r="J24" s="7"/>
      <c r="K24" s="23" t="str">
        <f>"150,0"</f>
        <v>150,0</v>
      </c>
      <c r="L24" s="27" t="str">
        <f>"96,2550"</f>
        <v>96,2550</v>
      </c>
      <c r="M24" s="5" t="s">
        <v>545</v>
      </c>
    </row>
    <row r="26" spans="1:12" ht="15">
      <c r="A26" s="38" t="s">
        <v>184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3" ht="12.75">
      <c r="A27" s="21" t="s">
        <v>185</v>
      </c>
      <c r="B27" s="8" t="s">
        <v>186</v>
      </c>
      <c r="C27" s="8" t="s">
        <v>187</v>
      </c>
      <c r="D27" s="8" t="str">
        <f>"0,6113"</f>
        <v>0,6113</v>
      </c>
      <c r="E27" s="8" t="s">
        <v>17</v>
      </c>
      <c r="F27" s="8" t="s">
        <v>18</v>
      </c>
      <c r="G27" s="9" t="s">
        <v>68</v>
      </c>
      <c r="H27" s="9" t="s">
        <v>121</v>
      </c>
      <c r="I27" s="9" t="s">
        <v>188</v>
      </c>
      <c r="J27" s="10"/>
      <c r="K27" s="21" t="str">
        <f>"197,5"</f>
        <v>197,5</v>
      </c>
      <c r="L27" s="25" t="str">
        <f>"120,7317"</f>
        <v>120,7317</v>
      </c>
      <c r="M27" s="8"/>
    </row>
    <row r="28" spans="1:13" ht="12.75">
      <c r="A28" s="22" t="s">
        <v>189</v>
      </c>
      <c r="B28" s="11" t="s">
        <v>190</v>
      </c>
      <c r="C28" s="11" t="s">
        <v>191</v>
      </c>
      <c r="D28" s="11" t="str">
        <f>"0,6191"</f>
        <v>0,6191</v>
      </c>
      <c r="E28" s="11" t="s">
        <v>17</v>
      </c>
      <c r="F28" s="11" t="s">
        <v>18</v>
      </c>
      <c r="G28" s="12" t="s">
        <v>67</v>
      </c>
      <c r="H28" s="12" t="s">
        <v>192</v>
      </c>
      <c r="I28" s="12" t="s">
        <v>121</v>
      </c>
      <c r="J28" s="13"/>
      <c r="K28" s="22" t="str">
        <f>"190,0"</f>
        <v>190,0</v>
      </c>
      <c r="L28" s="26" t="str">
        <f>"117,6290"</f>
        <v>117,6290</v>
      </c>
      <c r="M28" s="11"/>
    </row>
    <row r="30" ht="15">
      <c r="E30" s="14" t="s">
        <v>79</v>
      </c>
    </row>
    <row r="31" ht="15">
      <c r="E31" s="14" t="s">
        <v>80</v>
      </c>
    </row>
    <row r="32" ht="15">
      <c r="E32" s="14" t="s">
        <v>81</v>
      </c>
    </row>
    <row r="33" ht="15">
      <c r="E33" s="14" t="s">
        <v>82</v>
      </c>
    </row>
    <row r="34" ht="15">
      <c r="E34" s="14" t="s">
        <v>82</v>
      </c>
    </row>
    <row r="35" ht="15">
      <c r="E35" s="14" t="s">
        <v>83</v>
      </c>
    </row>
    <row r="36" ht="15">
      <c r="E36" s="14"/>
    </row>
  </sheetData>
  <sheetProtection/>
  <mergeCells count="18">
    <mergeCell ref="A15:L15"/>
    <mergeCell ref="A19:L19"/>
    <mergeCell ref="A23:L23"/>
    <mergeCell ref="A26:L26"/>
    <mergeCell ref="K3:K4"/>
    <mergeCell ref="L3:L4"/>
    <mergeCell ref="F3:F4"/>
    <mergeCell ref="G3:J3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3">
      <selection activeCell="M36" sqref="M36"/>
    </sheetView>
  </sheetViews>
  <sheetFormatPr defaultColWidth="9.00390625" defaultRowHeight="12.75"/>
  <cols>
    <col min="1" max="1" width="26.00390625" style="4" bestFit="1" customWidth="1"/>
    <col min="2" max="2" width="29.125" style="4" bestFit="1" customWidth="1"/>
    <col min="3" max="3" width="9.75390625" style="4" bestFit="1" customWidth="1"/>
    <col min="4" max="4" width="7.625" style="4" bestFit="1" customWidth="1"/>
    <col min="5" max="5" width="21.625" style="4" bestFit="1" customWidth="1"/>
    <col min="6" max="6" width="27.375" style="4" bestFit="1" customWidth="1"/>
    <col min="7" max="9" width="5.375" style="3" bestFit="1" customWidth="1"/>
    <col min="10" max="10" width="4.25390625" style="3" bestFit="1" customWidth="1"/>
    <col min="11" max="11" width="12.125" style="4" customWidth="1"/>
    <col min="12" max="12" width="8.375" style="3" bestFit="1" customWidth="1"/>
    <col min="13" max="13" width="19.00390625" style="4" bestFit="1" customWidth="1"/>
    <col min="14" max="16384" width="9.125" style="3" customWidth="1"/>
  </cols>
  <sheetData>
    <row r="1" spans="1:13" s="2" customFormat="1" ht="28.5" customHeight="1">
      <c r="A1" s="40" t="s">
        <v>528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11</v>
      </c>
      <c r="D3" s="50" t="s">
        <v>12</v>
      </c>
      <c r="E3" s="50" t="s">
        <v>7</v>
      </c>
      <c r="F3" s="50" t="s">
        <v>10</v>
      </c>
      <c r="G3" s="50" t="s">
        <v>2</v>
      </c>
      <c r="H3" s="50"/>
      <c r="I3" s="50"/>
      <c r="J3" s="50"/>
      <c r="K3" s="50" t="s">
        <v>193</v>
      </c>
      <c r="L3" s="50" t="s">
        <v>6</v>
      </c>
      <c r="M3" s="34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0">
        <v>1</v>
      </c>
      <c r="H4" s="20">
        <v>2</v>
      </c>
      <c r="I4" s="20">
        <v>3</v>
      </c>
      <c r="J4" s="20" t="s">
        <v>8</v>
      </c>
      <c r="K4" s="49"/>
      <c r="L4" s="49"/>
      <c r="M4" s="35"/>
    </row>
    <row r="5" spans="1:12" ht="15">
      <c r="A5" s="36" t="s">
        <v>194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23" t="s">
        <v>195</v>
      </c>
      <c r="B6" s="5" t="s">
        <v>196</v>
      </c>
      <c r="C6" s="5" t="s">
        <v>197</v>
      </c>
      <c r="D6" s="5" t="str">
        <f>"1,3553"</f>
        <v>1,3553</v>
      </c>
      <c r="E6" s="5" t="s">
        <v>17</v>
      </c>
      <c r="F6" s="5" t="s">
        <v>18</v>
      </c>
      <c r="G6" s="6" t="s">
        <v>22</v>
      </c>
      <c r="H6" s="7" t="s">
        <v>23</v>
      </c>
      <c r="I6" s="7" t="s">
        <v>23</v>
      </c>
      <c r="J6" s="7"/>
      <c r="K6" s="23" t="str">
        <f>"47,5"</f>
        <v>47,5</v>
      </c>
      <c r="L6" s="27" t="str">
        <f>"64,3767"</f>
        <v>64,3767</v>
      </c>
      <c r="M6" s="5"/>
    </row>
    <row r="8" spans="1:12" ht="15">
      <c r="A8" s="38" t="s">
        <v>28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3" ht="12.75">
      <c r="A9" s="21" t="s">
        <v>198</v>
      </c>
      <c r="B9" s="8" t="s">
        <v>199</v>
      </c>
      <c r="C9" s="8" t="s">
        <v>200</v>
      </c>
      <c r="D9" s="8" t="str">
        <f>"1,0491"</f>
        <v>1,0491</v>
      </c>
      <c r="E9" s="8" t="s">
        <v>17</v>
      </c>
      <c r="F9" s="8" t="s">
        <v>18</v>
      </c>
      <c r="G9" s="9" t="s">
        <v>20</v>
      </c>
      <c r="H9" s="10" t="s">
        <v>21</v>
      </c>
      <c r="I9" s="10" t="s">
        <v>21</v>
      </c>
      <c r="J9" s="10"/>
      <c r="K9" s="21" t="str">
        <f>"80,0"</f>
        <v>80,0</v>
      </c>
      <c r="L9" s="25" t="str">
        <f>"83,9280"</f>
        <v>83,9280</v>
      </c>
      <c r="M9" s="8" t="s">
        <v>132</v>
      </c>
    </row>
    <row r="10" spans="1:13" ht="12.75">
      <c r="A10" s="22" t="s">
        <v>201</v>
      </c>
      <c r="B10" s="11" t="s">
        <v>202</v>
      </c>
      <c r="C10" s="11" t="s">
        <v>203</v>
      </c>
      <c r="D10" s="11" t="str">
        <f>"1,0871"</f>
        <v>1,0871</v>
      </c>
      <c r="E10" s="11" t="s">
        <v>17</v>
      </c>
      <c r="F10" s="11" t="s">
        <v>18</v>
      </c>
      <c r="G10" s="12" t="s">
        <v>107</v>
      </c>
      <c r="H10" s="13" t="s">
        <v>99</v>
      </c>
      <c r="I10" s="13" t="s">
        <v>99</v>
      </c>
      <c r="J10" s="13"/>
      <c r="K10" s="22" t="str">
        <f>"70,0"</f>
        <v>70,0</v>
      </c>
      <c r="L10" s="26" t="str">
        <f>"76,0970"</f>
        <v>76,0970</v>
      </c>
      <c r="M10" s="11"/>
    </row>
    <row r="12" spans="1:12" ht="15">
      <c r="A12" s="38" t="s">
        <v>49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3" ht="12.75">
      <c r="A13" s="23" t="s">
        <v>205</v>
      </c>
      <c r="B13" s="5" t="s">
        <v>105</v>
      </c>
      <c r="C13" s="5" t="s">
        <v>106</v>
      </c>
      <c r="D13" s="5" t="str">
        <f>"0,9587"</f>
        <v>0,9587</v>
      </c>
      <c r="E13" s="5" t="s">
        <v>17</v>
      </c>
      <c r="F13" s="5" t="s">
        <v>18</v>
      </c>
      <c r="G13" s="6" t="s">
        <v>19</v>
      </c>
      <c r="H13" s="6" t="s">
        <v>20</v>
      </c>
      <c r="I13" s="7"/>
      <c r="J13" s="7"/>
      <c r="K13" s="23" t="str">
        <f>"80,0"</f>
        <v>80,0</v>
      </c>
      <c r="L13" s="27" t="str">
        <f>"76,6960"</f>
        <v>76,6960</v>
      </c>
      <c r="M13" s="5"/>
    </row>
    <row r="15" spans="1:12" ht="15">
      <c r="A15" s="38" t="s">
        <v>28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3" ht="12.75">
      <c r="A16" s="23" t="s">
        <v>206</v>
      </c>
      <c r="B16" s="5" t="s">
        <v>207</v>
      </c>
      <c r="C16" s="5" t="s">
        <v>208</v>
      </c>
      <c r="D16" s="5" t="str">
        <f>"0,8025"</f>
        <v>0,8025</v>
      </c>
      <c r="E16" s="5" t="s">
        <v>17</v>
      </c>
      <c r="F16" s="5" t="s">
        <v>18</v>
      </c>
      <c r="G16" s="7" t="s">
        <v>33</v>
      </c>
      <c r="H16" s="6" t="s">
        <v>33</v>
      </c>
      <c r="I16" s="7" t="s">
        <v>42</v>
      </c>
      <c r="J16" s="7"/>
      <c r="K16" s="23" t="str">
        <f>"90,0"</f>
        <v>90,0</v>
      </c>
      <c r="L16" s="27" t="str">
        <f>"72,2250"</f>
        <v>72,2250</v>
      </c>
      <c r="M16" s="5"/>
    </row>
    <row r="18" spans="1:12" ht="15">
      <c r="A18" s="38" t="s">
        <v>49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3" ht="12.75">
      <c r="A19" s="23" t="s">
        <v>209</v>
      </c>
      <c r="B19" s="5" t="s">
        <v>210</v>
      </c>
      <c r="C19" s="5" t="s">
        <v>211</v>
      </c>
      <c r="D19" s="5" t="str">
        <f>"0,7307"</f>
        <v>0,7307</v>
      </c>
      <c r="E19" s="5" t="s">
        <v>17</v>
      </c>
      <c r="F19" s="5" t="s">
        <v>18</v>
      </c>
      <c r="G19" s="6" t="s">
        <v>27</v>
      </c>
      <c r="H19" s="6" t="s">
        <v>38</v>
      </c>
      <c r="I19" s="7" t="s">
        <v>116</v>
      </c>
      <c r="J19" s="7"/>
      <c r="K19" s="23" t="str">
        <f>"117,5"</f>
        <v>117,5</v>
      </c>
      <c r="L19" s="27" t="str">
        <f>"85,8573"</f>
        <v>85,8573</v>
      </c>
      <c r="M19" s="5"/>
    </row>
    <row r="21" spans="1:12" ht="15">
      <c r="A21" s="38" t="s">
        <v>171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3" ht="12.75">
      <c r="A22" s="23" t="s">
        <v>212</v>
      </c>
      <c r="B22" s="5" t="s">
        <v>213</v>
      </c>
      <c r="C22" s="5" t="s">
        <v>214</v>
      </c>
      <c r="D22" s="5" t="str">
        <f>"0,6888"</f>
        <v>0,6888</v>
      </c>
      <c r="E22" s="5" t="s">
        <v>17</v>
      </c>
      <c r="F22" s="5" t="s">
        <v>18</v>
      </c>
      <c r="G22" s="6" t="s">
        <v>53</v>
      </c>
      <c r="H22" s="7" t="s">
        <v>54</v>
      </c>
      <c r="I22" s="6" t="s">
        <v>204</v>
      </c>
      <c r="J22" s="7"/>
      <c r="K22" s="23" t="str">
        <f>"140,0"</f>
        <v>140,0</v>
      </c>
      <c r="L22" s="27" t="str">
        <f>"96,4320"</f>
        <v>96,4320</v>
      </c>
      <c r="M22" s="5" t="s">
        <v>543</v>
      </c>
    </row>
    <row r="24" spans="1:12" ht="15">
      <c r="A24" s="38" t="s">
        <v>62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3" ht="12.75">
      <c r="A25" s="23" t="s">
        <v>215</v>
      </c>
      <c r="B25" s="5" t="s">
        <v>216</v>
      </c>
      <c r="C25" s="5" t="s">
        <v>217</v>
      </c>
      <c r="D25" s="5" t="str">
        <f>"0,6628"</f>
        <v>0,6628</v>
      </c>
      <c r="E25" s="5" t="s">
        <v>17</v>
      </c>
      <c r="F25" s="5" t="s">
        <v>18</v>
      </c>
      <c r="G25" s="6" t="s">
        <v>43</v>
      </c>
      <c r="H25" s="7" t="s">
        <v>120</v>
      </c>
      <c r="I25" s="7" t="s">
        <v>120</v>
      </c>
      <c r="J25" s="7"/>
      <c r="K25" s="23" t="str">
        <f>"120,0"</f>
        <v>120,0</v>
      </c>
      <c r="L25" s="27" t="str">
        <f>"80,3314"</f>
        <v>80,3314</v>
      </c>
      <c r="M25" s="5" t="s">
        <v>132</v>
      </c>
    </row>
    <row r="27" spans="1:12" ht="15">
      <c r="A27" s="38" t="s">
        <v>184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3" ht="12.75">
      <c r="A28" s="21" t="s">
        <v>218</v>
      </c>
      <c r="B28" s="8" t="s">
        <v>219</v>
      </c>
      <c r="C28" s="8" t="s">
        <v>220</v>
      </c>
      <c r="D28" s="8" t="str">
        <f>"0,6131"</f>
        <v>0,6131</v>
      </c>
      <c r="E28" s="8" t="s">
        <v>17</v>
      </c>
      <c r="F28" s="8" t="s">
        <v>18</v>
      </c>
      <c r="G28" s="9" t="s">
        <v>68</v>
      </c>
      <c r="H28" s="9" t="s">
        <v>121</v>
      </c>
      <c r="I28" s="9" t="s">
        <v>127</v>
      </c>
      <c r="J28" s="10"/>
      <c r="K28" s="21" t="str">
        <f>"200,0"</f>
        <v>200,0</v>
      </c>
      <c r="L28" s="25" t="str">
        <f>"122,6200"</f>
        <v>122,6200</v>
      </c>
      <c r="M28" s="8"/>
    </row>
    <row r="29" spans="1:13" ht="12.75">
      <c r="A29" s="24" t="s">
        <v>221</v>
      </c>
      <c r="B29" s="17" t="s">
        <v>222</v>
      </c>
      <c r="C29" s="17" t="s">
        <v>223</v>
      </c>
      <c r="D29" s="17" t="str">
        <f>"0,6150"</f>
        <v>0,6150</v>
      </c>
      <c r="E29" s="17" t="s">
        <v>17</v>
      </c>
      <c r="F29" s="17" t="s">
        <v>18</v>
      </c>
      <c r="G29" s="19" t="s">
        <v>68</v>
      </c>
      <c r="H29" s="19" t="s">
        <v>121</v>
      </c>
      <c r="I29" s="19" t="s">
        <v>224</v>
      </c>
      <c r="J29" s="18"/>
      <c r="K29" s="24" t="str">
        <f>"195,0"</f>
        <v>195,0</v>
      </c>
      <c r="L29" s="28" t="str">
        <f>"119,9250"</f>
        <v>119,9250</v>
      </c>
      <c r="M29" s="17" t="s">
        <v>544</v>
      </c>
    </row>
    <row r="30" spans="1:13" ht="12.75">
      <c r="A30" s="22" t="s">
        <v>225</v>
      </c>
      <c r="B30" s="11" t="s">
        <v>226</v>
      </c>
      <c r="C30" s="11" t="s">
        <v>227</v>
      </c>
      <c r="D30" s="11" t="str">
        <f>"0,6136"</f>
        <v>0,6136</v>
      </c>
      <c r="E30" s="11" t="s">
        <v>17</v>
      </c>
      <c r="F30" s="11" t="s">
        <v>18</v>
      </c>
      <c r="G30" s="12" t="s">
        <v>120</v>
      </c>
      <c r="H30" s="13" t="s">
        <v>53</v>
      </c>
      <c r="I30" s="12" t="s">
        <v>53</v>
      </c>
      <c r="J30" s="13"/>
      <c r="K30" s="22" t="str">
        <f>"140,0"</f>
        <v>140,0</v>
      </c>
      <c r="L30" s="26" t="str">
        <f>"107,0364"</f>
        <v>107,0364</v>
      </c>
      <c r="M30" s="11" t="s">
        <v>132</v>
      </c>
    </row>
    <row r="32" spans="1:12" ht="15">
      <c r="A32" s="38" t="s">
        <v>228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3" ht="12.75">
      <c r="A33" s="23" t="s">
        <v>229</v>
      </c>
      <c r="B33" s="5" t="s">
        <v>230</v>
      </c>
      <c r="C33" s="5" t="s">
        <v>231</v>
      </c>
      <c r="D33" s="5" t="str">
        <f>"0,5783"</f>
        <v>0,5783</v>
      </c>
      <c r="E33" s="5" t="s">
        <v>17</v>
      </c>
      <c r="F33" s="5" t="s">
        <v>18</v>
      </c>
      <c r="G33" s="6" t="s">
        <v>73</v>
      </c>
      <c r="H33" s="6" t="s">
        <v>128</v>
      </c>
      <c r="I33" s="6" t="s">
        <v>74</v>
      </c>
      <c r="J33" s="7"/>
      <c r="K33" s="23" t="str">
        <f>"220,0"</f>
        <v>220,0</v>
      </c>
      <c r="L33" s="27" t="str">
        <f>"127,2260"</f>
        <v>127,2260</v>
      </c>
      <c r="M33" s="5"/>
    </row>
    <row r="35" spans="1:12" ht="15">
      <c r="A35" s="38" t="s">
        <v>232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3" ht="12.75">
      <c r="A36" s="23" t="s">
        <v>233</v>
      </c>
      <c r="B36" s="5" t="s">
        <v>234</v>
      </c>
      <c r="C36" s="5" t="s">
        <v>235</v>
      </c>
      <c r="D36" s="5" t="str">
        <f>"0,5651"</f>
        <v>0,5651</v>
      </c>
      <c r="E36" s="5" t="s">
        <v>125</v>
      </c>
      <c r="F36" s="5" t="s">
        <v>126</v>
      </c>
      <c r="G36" s="6" t="s">
        <v>128</v>
      </c>
      <c r="H36" s="6" t="s">
        <v>74</v>
      </c>
      <c r="I36" s="7" t="s">
        <v>141</v>
      </c>
      <c r="J36" s="7"/>
      <c r="K36" s="23" t="str">
        <f>"220,0"</f>
        <v>220,0</v>
      </c>
      <c r="L36" s="27" t="str">
        <f>"124,3220"</f>
        <v>124,3220</v>
      </c>
      <c r="M36" s="5"/>
    </row>
    <row r="38" ht="15">
      <c r="E38" s="14" t="s">
        <v>79</v>
      </c>
    </row>
    <row r="39" ht="15">
      <c r="E39" s="14" t="s">
        <v>80</v>
      </c>
    </row>
    <row r="40" ht="15">
      <c r="E40" s="14" t="s">
        <v>81</v>
      </c>
    </row>
    <row r="41" ht="15">
      <c r="E41" s="14" t="s">
        <v>82</v>
      </c>
    </row>
    <row r="42" ht="15">
      <c r="E42" s="14" t="s">
        <v>82</v>
      </c>
    </row>
    <row r="43" ht="15">
      <c r="E43" s="14" t="s">
        <v>83</v>
      </c>
    </row>
  </sheetData>
  <sheetProtection/>
  <mergeCells count="21">
    <mergeCell ref="A32:L32"/>
    <mergeCell ref="M3:M4"/>
    <mergeCell ref="A5:L5"/>
    <mergeCell ref="A8:L8"/>
    <mergeCell ref="A12:L12"/>
    <mergeCell ref="A35:L35"/>
    <mergeCell ref="A15:L15"/>
    <mergeCell ref="A18:L18"/>
    <mergeCell ref="A21:L21"/>
    <mergeCell ref="A24:L24"/>
    <mergeCell ref="A27:L2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24.125" style="4" bestFit="1" customWidth="1"/>
    <col min="2" max="2" width="22.75390625" style="4" bestFit="1" customWidth="1"/>
    <col min="3" max="3" width="9.75390625" style="4" bestFit="1" customWidth="1"/>
    <col min="4" max="4" width="7.625" style="4" bestFit="1" customWidth="1"/>
    <col min="5" max="5" width="21.625" style="4" bestFit="1" customWidth="1"/>
    <col min="6" max="6" width="23.875" style="4" bestFit="1" customWidth="1"/>
    <col min="7" max="9" width="5.375" style="3" bestFit="1" customWidth="1"/>
    <col min="10" max="10" width="4.25390625" style="3" bestFit="1" customWidth="1"/>
    <col min="11" max="11" width="11.75390625" style="4" customWidth="1"/>
    <col min="12" max="12" width="8.375" style="3" bestFit="1" customWidth="1"/>
    <col min="13" max="13" width="7.875" style="4" bestFit="1" customWidth="1"/>
    <col min="14" max="16384" width="9.125" style="3" customWidth="1"/>
  </cols>
  <sheetData>
    <row r="1" spans="1:13" s="2" customFormat="1" ht="28.5" customHeight="1">
      <c r="A1" s="40" t="s">
        <v>529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11</v>
      </c>
      <c r="D3" s="50" t="s">
        <v>12</v>
      </c>
      <c r="E3" s="50" t="s">
        <v>7</v>
      </c>
      <c r="F3" s="50" t="s">
        <v>10</v>
      </c>
      <c r="G3" s="50" t="s">
        <v>2</v>
      </c>
      <c r="H3" s="50"/>
      <c r="I3" s="50"/>
      <c r="J3" s="50"/>
      <c r="K3" s="50" t="s">
        <v>193</v>
      </c>
      <c r="L3" s="50" t="s">
        <v>6</v>
      </c>
      <c r="M3" s="34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0">
        <v>1</v>
      </c>
      <c r="H4" s="20">
        <v>2</v>
      </c>
      <c r="I4" s="20">
        <v>3</v>
      </c>
      <c r="J4" s="20" t="s">
        <v>8</v>
      </c>
      <c r="K4" s="49"/>
      <c r="L4" s="49"/>
      <c r="M4" s="35"/>
    </row>
    <row r="5" spans="1:12" ht="15">
      <c r="A5" s="36" t="s">
        <v>49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23" t="s">
        <v>236</v>
      </c>
      <c r="B6" s="5" t="s">
        <v>237</v>
      </c>
      <c r="C6" s="5" t="s">
        <v>238</v>
      </c>
      <c r="D6" s="5" t="str">
        <f>"0,7214"</f>
        <v>0,7214</v>
      </c>
      <c r="E6" s="5" t="s">
        <v>125</v>
      </c>
      <c r="F6" s="5" t="s">
        <v>126</v>
      </c>
      <c r="G6" s="6" t="s">
        <v>127</v>
      </c>
      <c r="H6" s="6" t="s">
        <v>73</v>
      </c>
      <c r="I6" s="7" t="s">
        <v>239</v>
      </c>
      <c r="J6" s="7"/>
      <c r="K6" s="23" t="str">
        <f>"210,0"</f>
        <v>210,0</v>
      </c>
      <c r="L6" s="27" t="str">
        <f>"151,4940"</f>
        <v>151,4940</v>
      </c>
      <c r="M6" s="5" t="s">
        <v>132</v>
      </c>
    </row>
    <row r="8" ht="15">
      <c r="E8" s="14" t="s">
        <v>79</v>
      </c>
    </row>
    <row r="9" ht="15">
      <c r="E9" s="14" t="s">
        <v>80</v>
      </c>
    </row>
    <row r="10" ht="15">
      <c r="E10" s="14" t="s">
        <v>81</v>
      </c>
    </row>
    <row r="11" ht="15">
      <c r="E11" s="14" t="s">
        <v>82</v>
      </c>
    </row>
    <row r="12" ht="15">
      <c r="E12" s="14" t="s">
        <v>82</v>
      </c>
    </row>
    <row r="13" ht="15">
      <c r="E13" s="14" t="s">
        <v>83</v>
      </c>
    </row>
    <row r="14" ht="15">
      <c r="E14" s="14"/>
    </row>
  </sheetData>
  <sheetProtection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C7">
      <selection activeCell="U6" sqref="U6"/>
    </sheetView>
  </sheetViews>
  <sheetFormatPr defaultColWidth="9.00390625" defaultRowHeight="12.75"/>
  <cols>
    <col min="1" max="1" width="27.125" style="4" customWidth="1"/>
    <col min="2" max="2" width="28.25390625" style="4" bestFit="1" customWidth="1"/>
    <col min="3" max="3" width="9.75390625" style="4" bestFit="1" customWidth="1"/>
    <col min="4" max="4" width="7.625" style="4" bestFit="1" customWidth="1"/>
    <col min="5" max="5" width="21.625" style="4" bestFit="1" customWidth="1"/>
    <col min="6" max="6" width="27.375" style="4" bestFit="1" customWidth="1"/>
    <col min="7" max="9" width="5.375" style="3" bestFit="1" customWidth="1"/>
    <col min="10" max="10" width="4.25390625" style="3" bestFit="1" customWidth="1"/>
    <col min="11" max="13" width="5.375" style="3" bestFit="1" customWidth="1"/>
    <col min="14" max="14" width="4.25390625" style="3" bestFit="1" customWidth="1"/>
    <col min="15" max="17" width="5.375" style="3" bestFit="1" customWidth="1"/>
    <col min="18" max="18" width="4.25390625" style="3" bestFit="1" customWidth="1"/>
    <col min="19" max="19" width="7.125" style="4" bestFit="1" customWidth="1"/>
    <col min="20" max="20" width="8.375" style="3" bestFit="1" customWidth="1"/>
    <col min="21" max="21" width="30.875" style="4" bestFit="1" customWidth="1"/>
    <col min="22" max="16384" width="9.125" style="3" customWidth="1"/>
  </cols>
  <sheetData>
    <row r="1" spans="1:21" s="2" customFormat="1" ht="28.5" customHeight="1">
      <c r="A1" s="40" t="s">
        <v>525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11</v>
      </c>
      <c r="D3" s="50" t="s">
        <v>12</v>
      </c>
      <c r="E3" s="50" t="s">
        <v>7</v>
      </c>
      <c r="F3" s="50" t="s">
        <v>10</v>
      </c>
      <c r="G3" s="50" t="s">
        <v>1</v>
      </c>
      <c r="H3" s="50"/>
      <c r="I3" s="50"/>
      <c r="J3" s="50"/>
      <c r="K3" s="50" t="s">
        <v>2</v>
      </c>
      <c r="L3" s="50"/>
      <c r="M3" s="50"/>
      <c r="N3" s="50"/>
      <c r="O3" s="50" t="s">
        <v>3</v>
      </c>
      <c r="P3" s="50"/>
      <c r="Q3" s="50"/>
      <c r="R3" s="50"/>
      <c r="S3" s="50" t="s">
        <v>4</v>
      </c>
      <c r="T3" s="50" t="s">
        <v>6</v>
      </c>
      <c r="U3" s="34" t="s">
        <v>5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20">
        <v>1</v>
      </c>
      <c r="H4" s="20">
        <v>2</v>
      </c>
      <c r="I4" s="20">
        <v>3</v>
      </c>
      <c r="J4" s="20" t="s">
        <v>8</v>
      </c>
      <c r="K4" s="20">
        <v>1</v>
      </c>
      <c r="L4" s="20">
        <v>2</v>
      </c>
      <c r="M4" s="20">
        <v>3</v>
      </c>
      <c r="N4" s="20" t="s">
        <v>8</v>
      </c>
      <c r="O4" s="20">
        <v>1</v>
      </c>
      <c r="P4" s="20">
        <v>2</v>
      </c>
      <c r="Q4" s="20">
        <v>3</v>
      </c>
      <c r="R4" s="20" t="s">
        <v>8</v>
      </c>
      <c r="S4" s="49"/>
      <c r="T4" s="49"/>
      <c r="U4" s="35"/>
    </row>
    <row r="5" spans="1:20" ht="15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1" ht="12.75">
      <c r="A6" s="23" t="s">
        <v>14</v>
      </c>
      <c r="B6" s="5" t="s">
        <v>15</v>
      </c>
      <c r="C6" s="5" t="s">
        <v>16</v>
      </c>
      <c r="D6" s="5" t="str">
        <f>"1,1266"</f>
        <v>1,1266</v>
      </c>
      <c r="E6" s="5" t="s">
        <v>17</v>
      </c>
      <c r="F6" s="5" t="s">
        <v>18</v>
      </c>
      <c r="G6" s="6" t="s">
        <v>19</v>
      </c>
      <c r="H6" s="6" t="s">
        <v>20</v>
      </c>
      <c r="I6" s="6" t="s">
        <v>21</v>
      </c>
      <c r="J6" s="7"/>
      <c r="K6" s="6" t="s">
        <v>22</v>
      </c>
      <c r="L6" s="6" t="s">
        <v>23</v>
      </c>
      <c r="M6" s="6" t="s">
        <v>24</v>
      </c>
      <c r="N6" s="7"/>
      <c r="O6" s="6" t="s">
        <v>25</v>
      </c>
      <c r="P6" s="6" t="s">
        <v>26</v>
      </c>
      <c r="Q6" s="6" t="s">
        <v>27</v>
      </c>
      <c r="R6" s="7"/>
      <c r="S6" s="23" t="str">
        <f>"252,5"</f>
        <v>252,5</v>
      </c>
      <c r="T6" s="27" t="str">
        <f>"284,4665"</f>
        <v>284,4665</v>
      </c>
      <c r="U6" s="5"/>
    </row>
    <row r="8" spans="1:20" ht="15">
      <c r="A8" s="38" t="s">
        <v>28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1" ht="12.75">
      <c r="A9" s="23" t="s">
        <v>29</v>
      </c>
      <c r="B9" s="5" t="s">
        <v>30</v>
      </c>
      <c r="C9" s="5" t="s">
        <v>31</v>
      </c>
      <c r="D9" s="5" t="str">
        <f>"1,0432"</f>
        <v>1,0432</v>
      </c>
      <c r="E9" s="5" t="s">
        <v>17</v>
      </c>
      <c r="F9" s="5" t="s">
        <v>18</v>
      </c>
      <c r="G9" s="6" t="s">
        <v>20</v>
      </c>
      <c r="H9" s="6" t="s">
        <v>32</v>
      </c>
      <c r="I9" s="6" t="s">
        <v>33</v>
      </c>
      <c r="J9" s="7"/>
      <c r="K9" s="6" t="s">
        <v>34</v>
      </c>
      <c r="L9" s="6" t="s">
        <v>22</v>
      </c>
      <c r="M9" s="7" t="s">
        <v>35</v>
      </c>
      <c r="N9" s="7"/>
      <c r="O9" s="6" t="s">
        <v>36</v>
      </c>
      <c r="P9" s="6" t="s">
        <v>37</v>
      </c>
      <c r="Q9" s="6" t="s">
        <v>38</v>
      </c>
      <c r="R9" s="7"/>
      <c r="S9" s="23" t="str">
        <f>"255,0"</f>
        <v>255,0</v>
      </c>
      <c r="T9" s="27" t="str">
        <f>"266,0160"</f>
        <v>266,0160</v>
      </c>
      <c r="U9" s="5"/>
    </row>
    <row r="11" spans="1:20" ht="15">
      <c r="A11" s="38" t="s">
        <v>28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1" ht="12.75">
      <c r="A12" s="23" t="s">
        <v>39</v>
      </c>
      <c r="B12" s="5" t="s">
        <v>40</v>
      </c>
      <c r="C12" s="5" t="s">
        <v>41</v>
      </c>
      <c r="D12" s="5" t="str">
        <f>"0,7872"</f>
        <v>0,7872</v>
      </c>
      <c r="E12" s="5" t="s">
        <v>17</v>
      </c>
      <c r="F12" s="5" t="s">
        <v>18</v>
      </c>
      <c r="G12" s="6" t="s">
        <v>42</v>
      </c>
      <c r="H12" s="6" t="s">
        <v>27</v>
      </c>
      <c r="I12" s="6" t="s">
        <v>43</v>
      </c>
      <c r="J12" s="7"/>
      <c r="K12" s="6" t="s">
        <v>44</v>
      </c>
      <c r="L12" s="6" t="s">
        <v>42</v>
      </c>
      <c r="M12" s="7" t="s">
        <v>26</v>
      </c>
      <c r="N12" s="7"/>
      <c r="O12" s="6" t="s">
        <v>45</v>
      </c>
      <c r="P12" s="6" t="s">
        <v>46</v>
      </c>
      <c r="Q12" s="6" t="s">
        <v>47</v>
      </c>
      <c r="R12" s="7"/>
      <c r="S12" s="23" t="str">
        <f>"390,0"</f>
        <v>390,0</v>
      </c>
      <c r="T12" s="27" t="str">
        <f>"307,0080"</f>
        <v>307,0080</v>
      </c>
      <c r="U12" s="5" t="s">
        <v>48</v>
      </c>
    </row>
    <row r="14" spans="1:20" ht="15">
      <c r="A14" s="38" t="s">
        <v>49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1" ht="12.75">
      <c r="A15" s="21" t="s">
        <v>50</v>
      </c>
      <c r="B15" s="8" t="s">
        <v>51</v>
      </c>
      <c r="C15" s="8" t="s">
        <v>52</v>
      </c>
      <c r="D15" s="8" t="str">
        <f>"0,7478"</f>
        <v>0,7478</v>
      </c>
      <c r="E15" s="8" t="s">
        <v>17</v>
      </c>
      <c r="F15" s="8" t="s">
        <v>18</v>
      </c>
      <c r="G15" s="9" t="s">
        <v>53</v>
      </c>
      <c r="H15" s="10" t="s">
        <v>54</v>
      </c>
      <c r="I15" s="9" t="s">
        <v>54</v>
      </c>
      <c r="J15" s="10"/>
      <c r="K15" s="9" t="s">
        <v>33</v>
      </c>
      <c r="L15" s="9" t="s">
        <v>25</v>
      </c>
      <c r="M15" s="9" t="s">
        <v>42</v>
      </c>
      <c r="N15" s="10"/>
      <c r="O15" s="9" t="s">
        <v>55</v>
      </c>
      <c r="P15" s="9" t="s">
        <v>47</v>
      </c>
      <c r="Q15" s="9" t="s">
        <v>56</v>
      </c>
      <c r="R15" s="10"/>
      <c r="S15" s="21" t="str">
        <f>"430,0"</f>
        <v>430,0</v>
      </c>
      <c r="T15" s="25" t="str">
        <f>"321,5540"</f>
        <v>321,5540</v>
      </c>
      <c r="U15" s="8"/>
    </row>
    <row r="16" spans="1:21" ht="12.75">
      <c r="A16" s="22" t="s">
        <v>57</v>
      </c>
      <c r="B16" s="11" t="s">
        <v>58</v>
      </c>
      <c r="C16" s="11" t="s">
        <v>59</v>
      </c>
      <c r="D16" s="11" t="str">
        <f>"0,7207"</f>
        <v>0,7207</v>
      </c>
      <c r="E16" s="11" t="s">
        <v>17</v>
      </c>
      <c r="F16" s="11" t="s">
        <v>18</v>
      </c>
      <c r="G16" s="12" t="s">
        <v>42</v>
      </c>
      <c r="H16" s="12" t="s">
        <v>27</v>
      </c>
      <c r="I16" s="12" t="s">
        <v>38</v>
      </c>
      <c r="J16" s="13"/>
      <c r="K16" s="12" t="s">
        <v>32</v>
      </c>
      <c r="L16" s="12" t="s">
        <v>21</v>
      </c>
      <c r="M16" s="12" t="s">
        <v>44</v>
      </c>
      <c r="N16" s="13"/>
      <c r="O16" s="12" t="s">
        <v>60</v>
      </c>
      <c r="P16" s="12" t="s">
        <v>54</v>
      </c>
      <c r="Q16" s="12" t="s">
        <v>61</v>
      </c>
      <c r="R16" s="13"/>
      <c r="S16" s="22" t="str">
        <f>"362,5"</f>
        <v>362,5</v>
      </c>
      <c r="T16" s="26" t="str">
        <f>"261,2538"</f>
        <v>261,2538</v>
      </c>
      <c r="U16" s="11" t="s">
        <v>542</v>
      </c>
    </row>
    <row r="18" spans="1:20" ht="15">
      <c r="A18" s="38" t="s">
        <v>62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1" ht="12.75">
      <c r="A19" s="23" t="s">
        <v>63</v>
      </c>
      <c r="B19" s="5" t="s">
        <v>64</v>
      </c>
      <c r="C19" s="5" t="s">
        <v>65</v>
      </c>
      <c r="D19" s="5" t="str">
        <f>"0,6413"</f>
        <v>0,6413</v>
      </c>
      <c r="E19" s="5" t="s">
        <v>17</v>
      </c>
      <c r="F19" s="5" t="s">
        <v>18</v>
      </c>
      <c r="G19" s="6" t="s">
        <v>53</v>
      </c>
      <c r="H19" s="6" t="s">
        <v>45</v>
      </c>
      <c r="I19" s="7" t="s">
        <v>55</v>
      </c>
      <c r="J19" s="7"/>
      <c r="K19" s="6" t="s">
        <v>66</v>
      </c>
      <c r="L19" s="7" t="s">
        <v>43</v>
      </c>
      <c r="M19" s="7" t="s">
        <v>43</v>
      </c>
      <c r="N19" s="7"/>
      <c r="O19" s="6" t="s">
        <v>46</v>
      </c>
      <c r="P19" s="6" t="s">
        <v>67</v>
      </c>
      <c r="Q19" s="6" t="s">
        <v>68</v>
      </c>
      <c r="R19" s="7"/>
      <c r="S19" s="23" t="str">
        <f>"445,0"</f>
        <v>445,0</v>
      </c>
      <c r="T19" s="27" t="str">
        <f>"285,3785"</f>
        <v>285,3785</v>
      </c>
      <c r="U19" s="5"/>
    </row>
    <row r="21" spans="1:20" ht="15">
      <c r="A21" s="38" t="s">
        <v>69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1" ht="12.75">
      <c r="A22" s="23" t="s">
        <v>70</v>
      </c>
      <c r="B22" s="5" t="s">
        <v>71</v>
      </c>
      <c r="C22" s="5" t="s">
        <v>72</v>
      </c>
      <c r="D22" s="5" t="str">
        <f>"0,5905"</f>
        <v>0,5905</v>
      </c>
      <c r="E22" s="5" t="s">
        <v>17</v>
      </c>
      <c r="F22" s="5" t="s">
        <v>18</v>
      </c>
      <c r="G22" s="6" t="s">
        <v>73</v>
      </c>
      <c r="H22" s="6" t="s">
        <v>74</v>
      </c>
      <c r="I22" s="7" t="s">
        <v>75</v>
      </c>
      <c r="J22" s="7"/>
      <c r="K22" s="6" t="s">
        <v>55</v>
      </c>
      <c r="L22" s="6" t="s">
        <v>47</v>
      </c>
      <c r="M22" s="7" t="s">
        <v>68</v>
      </c>
      <c r="N22" s="7"/>
      <c r="O22" s="7" t="s">
        <v>76</v>
      </c>
      <c r="P22" s="6" t="s">
        <v>77</v>
      </c>
      <c r="Q22" s="7" t="s">
        <v>78</v>
      </c>
      <c r="R22" s="7"/>
      <c r="S22" s="23" t="str">
        <f>"670,0"</f>
        <v>670,0</v>
      </c>
      <c r="T22" s="27" t="str">
        <f>"395,6350"</f>
        <v>395,6350</v>
      </c>
      <c r="U22" s="5"/>
    </row>
    <row r="24" ht="15">
      <c r="E24" s="14" t="s">
        <v>79</v>
      </c>
    </row>
    <row r="25" ht="15">
      <c r="E25" s="14" t="s">
        <v>80</v>
      </c>
    </row>
    <row r="26" ht="15">
      <c r="E26" s="14" t="s">
        <v>81</v>
      </c>
    </row>
    <row r="27" ht="15">
      <c r="E27" s="14" t="s">
        <v>82</v>
      </c>
    </row>
    <row r="28" ht="15">
      <c r="E28" s="14" t="s">
        <v>82</v>
      </c>
    </row>
  </sheetData>
  <sheetProtection/>
  <mergeCells count="19">
    <mergeCell ref="A14:T14"/>
    <mergeCell ref="A18:T18"/>
    <mergeCell ref="A21:T21"/>
    <mergeCell ref="D3:D4"/>
    <mergeCell ref="S3:S4"/>
    <mergeCell ref="T3:T4"/>
    <mergeCell ref="A5:T5"/>
    <mergeCell ref="A8:T8"/>
    <mergeCell ref="A11:T11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C1">
      <selection activeCell="E17" sqref="E17"/>
    </sheetView>
  </sheetViews>
  <sheetFormatPr defaultColWidth="9.00390625" defaultRowHeight="12.75"/>
  <cols>
    <col min="1" max="1" width="28.00390625" style="4" bestFit="1" customWidth="1"/>
    <col min="2" max="2" width="27.875" style="4" bestFit="1" customWidth="1"/>
    <col min="3" max="3" width="9.75390625" style="4" bestFit="1" customWidth="1"/>
    <col min="4" max="4" width="7.625" style="4" bestFit="1" customWidth="1"/>
    <col min="5" max="5" width="21.625" style="4" bestFit="1" customWidth="1"/>
    <col min="6" max="6" width="27.375" style="4" bestFit="1" customWidth="1"/>
    <col min="7" max="9" width="5.375" style="3" bestFit="1" customWidth="1"/>
    <col min="10" max="10" width="4.25390625" style="3" bestFit="1" customWidth="1"/>
    <col min="11" max="13" width="5.375" style="3" bestFit="1" customWidth="1"/>
    <col min="14" max="14" width="4.25390625" style="3" bestFit="1" customWidth="1"/>
    <col min="15" max="17" width="5.375" style="3" bestFit="1" customWidth="1"/>
    <col min="18" max="18" width="4.25390625" style="3" bestFit="1" customWidth="1"/>
    <col min="19" max="19" width="7.125" style="4" bestFit="1" customWidth="1"/>
    <col min="20" max="20" width="8.375" style="3" bestFit="1" customWidth="1"/>
    <col min="21" max="21" width="30.875" style="4" bestFit="1" customWidth="1"/>
    <col min="22" max="16384" width="9.125" style="3" customWidth="1"/>
  </cols>
  <sheetData>
    <row r="1" spans="1:21" s="2" customFormat="1" ht="28.5" customHeight="1">
      <c r="A1" s="40" t="s">
        <v>526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11</v>
      </c>
      <c r="D3" s="50" t="s">
        <v>12</v>
      </c>
      <c r="E3" s="50" t="s">
        <v>7</v>
      </c>
      <c r="F3" s="50" t="s">
        <v>10</v>
      </c>
      <c r="G3" s="50" t="s">
        <v>1</v>
      </c>
      <c r="H3" s="50"/>
      <c r="I3" s="50"/>
      <c r="J3" s="50"/>
      <c r="K3" s="50" t="s">
        <v>2</v>
      </c>
      <c r="L3" s="50"/>
      <c r="M3" s="50"/>
      <c r="N3" s="50"/>
      <c r="O3" s="50" t="s">
        <v>3</v>
      </c>
      <c r="P3" s="50"/>
      <c r="Q3" s="50"/>
      <c r="R3" s="50"/>
      <c r="S3" s="50" t="s">
        <v>4</v>
      </c>
      <c r="T3" s="50" t="s">
        <v>6</v>
      </c>
      <c r="U3" s="34" t="s">
        <v>5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20">
        <v>1</v>
      </c>
      <c r="H4" s="20">
        <v>2</v>
      </c>
      <c r="I4" s="20">
        <v>3</v>
      </c>
      <c r="J4" s="20" t="s">
        <v>8</v>
      </c>
      <c r="K4" s="20">
        <v>1</v>
      </c>
      <c r="L4" s="20">
        <v>2</v>
      </c>
      <c r="M4" s="20">
        <v>3</v>
      </c>
      <c r="N4" s="20" t="s">
        <v>8</v>
      </c>
      <c r="O4" s="20">
        <v>1</v>
      </c>
      <c r="P4" s="20">
        <v>2</v>
      </c>
      <c r="Q4" s="20">
        <v>3</v>
      </c>
      <c r="R4" s="20" t="s">
        <v>8</v>
      </c>
      <c r="S4" s="49"/>
      <c r="T4" s="49"/>
      <c r="U4" s="35"/>
    </row>
    <row r="5" spans="1:20" ht="15">
      <c r="A5" s="36" t="s">
        <v>95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1" ht="12.75">
      <c r="A6" s="23" t="s">
        <v>96</v>
      </c>
      <c r="B6" s="5" t="s">
        <v>97</v>
      </c>
      <c r="C6" s="5" t="s">
        <v>98</v>
      </c>
      <c r="D6" s="5" t="str">
        <f>"1,2654"</f>
        <v>1,2654</v>
      </c>
      <c r="E6" s="5" t="s">
        <v>17</v>
      </c>
      <c r="F6" s="5" t="s">
        <v>18</v>
      </c>
      <c r="G6" s="6" t="s">
        <v>99</v>
      </c>
      <c r="H6" s="6" t="s">
        <v>20</v>
      </c>
      <c r="I6" s="6" t="s">
        <v>32</v>
      </c>
      <c r="J6" s="7"/>
      <c r="K6" s="6" t="s">
        <v>100</v>
      </c>
      <c r="L6" s="6" t="s">
        <v>101</v>
      </c>
      <c r="M6" s="6" t="s">
        <v>102</v>
      </c>
      <c r="N6" s="7"/>
      <c r="O6" s="6" t="s">
        <v>19</v>
      </c>
      <c r="P6" s="6" t="s">
        <v>103</v>
      </c>
      <c r="Q6" s="6" t="s">
        <v>33</v>
      </c>
      <c r="R6" s="7"/>
      <c r="S6" s="23" t="str">
        <f>"215,0"</f>
        <v>215,0</v>
      </c>
      <c r="T6" s="27" t="str">
        <f>"272,0610"</f>
        <v>272,0610</v>
      </c>
      <c r="U6" s="5"/>
    </row>
    <row r="8" spans="1:20" ht="15">
      <c r="A8" s="38" t="s">
        <v>49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1" ht="12.75">
      <c r="A9" s="23" t="s">
        <v>104</v>
      </c>
      <c r="B9" s="5" t="s">
        <v>105</v>
      </c>
      <c r="C9" s="5" t="s">
        <v>106</v>
      </c>
      <c r="D9" s="5" t="str">
        <f>"0,9587"</f>
        <v>0,9587</v>
      </c>
      <c r="E9" s="5" t="s">
        <v>493</v>
      </c>
      <c r="F9" s="5" t="s">
        <v>18</v>
      </c>
      <c r="G9" s="6" t="s">
        <v>26</v>
      </c>
      <c r="H9" s="6" t="s">
        <v>27</v>
      </c>
      <c r="I9" s="7" t="s">
        <v>66</v>
      </c>
      <c r="J9" s="7"/>
      <c r="K9" s="6" t="s">
        <v>107</v>
      </c>
      <c r="L9" s="6" t="s">
        <v>19</v>
      </c>
      <c r="M9" s="6" t="s">
        <v>20</v>
      </c>
      <c r="N9" s="7"/>
      <c r="O9" s="6" t="s">
        <v>53</v>
      </c>
      <c r="P9" s="6" t="s">
        <v>54</v>
      </c>
      <c r="Q9" s="6" t="s">
        <v>45</v>
      </c>
      <c r="R9" s="7"/>
      <c r="S9" s="23" t="str">
        <f>"340,0"</f>
        <v>340,0</v>
      </c>
      <c r="T9" s="27" t="str">
        <f>"325,9580"</f>
        <v>325,9580</v>
      </c>
      <c r="U9" s="5"/>
    </row>
    <row r="11" spans="1:20" ht="15">
      <c r="A11" s="38" t="s">
        <v>108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1" ht="12.75">
      <c r="A12" s="23" t="s">
        <v>109</v>
      </c>
      <c r="B12" s="5" t="s">
        <v>110</v>
      </c>
      <c r="C12" s="5" t="s">
        <v>111</v>
      </c>
      <c r="D12" s="5" t="str">
        <f>"1,1623"</f>
        <v>1,1623</v>
      </c>
      <c r="E12" s="5" t="s">
        <v>17</v>
      </c>
      <c r="F12" s="5" t="s">
        <v>18</v>
      </c>
      <c r="G12" s="6" t="s">
        <v>33</v>
      </c>
      <c r="H12" s="7" t="s">
        <v>42</v>
      </c>
      <c r="I12" s="7" t="s">
        <v>26</v>
      </c>
      <c r="J12" s="7"/>
      <c r="K12" s="7" t="s">
        <v>35</v>
      </c>
      <c r="L12" s="6" t="s">
        <v>112</v>
      </c>
      <c r="M12" s="6" t="s">
        <v>90</v>
      </c>
      <c r="N12" s="7"/>
      <c r="O12" s="6" t="s">
        <v>42</v>
      </c>
      <c r="P12" s="6" t="s">
        <v>27</v>
      </c>
      <c r="Q12" s="6" t="s">
        <v>66</v>
      </c>
      <c r="R12" s="7"/>
      <c r="S12" s="23" t="str">
        <f>"265,0"</f>
        <v>265,0</v>
      </c>
      <c r="T12" s="27" t="str">
        <f>"308,0095"</f>
        <v>308,0095</v>
      </c>
      <c r="U12" s="5"/>
    </row>
    <row r="14" spans="1:20" ht="15">
      <c r="A14" s="38" t="s">
        <v>49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1" ht="12.75">
      <c r="A15" s="21" t="s">
        <v>113</v>
      </c>
      <c r="B15" s="8" t="s">
        <v>114</v>
      </c>
      <c r="C15" s="8" t="s">
        <v>115</v>
      </c>
      <c r="D15" s="8" t="str">
        <f>"0,7166"</f>
        <v>0,7166</v>
      </c>
      <c r="E15" s="8" t="s">
        <v>17</v>
      </c>
      <c r="F15" s="8" t="s">
        <v>18</v>
      </c>
      <c r="G15" s="9" t="s">
        <v>42</v>
      </c>
      <c r="H15" s="9" t="s">
        <v>27</v>
      </c>
      <c r="I15" s="9" t="s">
        <v>43</v>
      </c>
      <c r="J15" s="10"/>
      <c r="K15" s="9" t="s">
        <v>90</v>
      </c>
      <c r="L15" s="9" t="s">
        <v>93</v>
      </c>
      <c r="M15" s="9" t="s">
        <v>99</v>
      </c>
      <c r="N15" s="10"/>
      <c r="O15" s="9" t="s">
        <v>27</v>
      </c>
      <c r="P15" s="9" t="s">
        <v>116</v>
      </c>
      <c r="Q15" s="9" t="s">
        <v>60</v>
      </c>
      <c r="R15" s="10"/>
      <c r="S15" s="21" t="str">
        <f>"327,5"</f>
        <v>327,5</v>
      </c>
      <c r="T15" s="25" t="str">
        <f>"234,6865"</f>
        <v>234,6865</v>
      </c>
      <c r="U15" s="8"/>
    </row>
    <row r="16" spans="1:21" ht="12.75">
      <c r="A16" s="24" t="s">
        <v>117</v>
      </c>
      <c r="B16" s="17" t="s">
        <v>118</v>
      </c>
      <c r="C16" s="17" t="s">
        <v>119</v>
      </c>
      <c r="D16" s="17" t="str">
        <f>"0,7179"</f>
        <v>0,7179</v>
      </c>
      <c r="E16" s="17" t="s">
        <v>541</v>
      </c>
      <c r="F16" s="17" t="s">
        <v>494</v>
      </c>
      <c r="G16" s="18" t="s">
        <v>120</v>
      </c>
      <c r="H16" s="18" t="s">
        <v>120</v>
      </c>
      <c r="I16" s="19" t="s">
        <v>120</v>
      </c>
      <c r="J16" s="18"/>
      <c r="K16" s="19" t="s">
        <v>33</v>
      </c>
      <c r="L16" s="19" t="s">
        <v>25</v>
      </c>
      <c r="M16" s="19" t="s">
        <v>42</v>
      </c>
      <c r="N16" s="18"/>
      <c r="O16" s="19" t="s">
        <v>47</v>
      </c>
      <c r="P16" s="19" t="s">
        <v>68</v>
      </c>
      <c r="Q16" s="18" t="s">
        <v>121</v>
      </c>
      <c r="R16" s="18"/>
      <c r="S16" s="24" t="str">
        <f>"410,0"</f>
        <v>410,0</v>
      </c>
      <c r="T16" s="28" t="str">
        <f>"294,3390"</f>
        <v>294,3390</v>
      </c>
      <c r="U16" s="17" t="s">
        <v>540</v>
      </c>
    </row>
    <row r="17" spans="1:21" ht="12.75">
      <c r="A17" s="22" t="s">
        <v>122</v>
      </c>
      <c r="B17" s="11" t="s">
        <v>123</v>
      </c>
      <c r="C17" s="11" t="s">
        <v>124</v>
      </c>
      <c r="D17" s="11" t="str">
        <f>"0,7264"</f>
        <v>0,7264</v>
      </c>
      <c r="E17" s="11" t="s">
        <v>125</v>
      </c>
      <c r="F17" s="11" t="s">
        <v>126</v>
      </c>
      <c r="G17" s="12" t="s">
        <v>127</v>
      </c>
      <c r="H17" s="12" t="s">
        <v>128</v>
      </c>
      <c r="I17" s="12" t="s">
        <v>74</v>
      </c>
      <c r="J17" s="13"/>
      <c r="K17" s="12" t="s">
        <v>45</v>
      </c>
      <c r="L17" s="12" t="s">
        <v>55</v>
      </c>
      <c r="M17" s="13" t="s">
        <v>46</v>
      </c>
      <c r="N17" s="13"/>
      <c r="O17" s="12" t="s">
        <v>129</v>
      </c>
      <c r="P17" s="12" t="s">
        <v>130</v>
      </c>
      <c r="Q17" s="12" t="s">
        <v>131</v>
      </c>
      <c r="R17" s="13"/>
      <c r="S17" s="22" t="str">
        <f>"625,0"</f>
        <v>625,0</v>
      </c>
      <c r="T17" s="26" t="str">
        <f>"454,0000"</f>
        <v>454,0000</v>
      </c>
      <c r="U17" s="11" t="s">
        <v>132</v>
      </c>
    </row>
    <row r="19" spans="1:20" ht="15">
      <c r="A19" s="38" t="s">
        <v>62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1" ht="12.75">
      <c r="A20" s="21" t="s">
        <v>133</v>
      </c>
      <c r="B20" s="8" t="s">
        <v>134</v>
      </c>
      <c r="C20" s="8" t="s">
        <v>135</v>
      </c>
      <c r="D20" s="8" t="str">
        <f>"0,6421"</f>
        <v>0,6421</v>
      </c>
      <c r="E20" s="8" t="s">
        <v>17</v>
      </c>
      <c r="F20" s="8" t="s">
        <v>18</v>
      </c>
      <c r="G20" s="9" t="s">
        <v>136</v>
      </c>
      <c r="H20" s="10" t="s">
        <v>137</v>
      </c>
      <c r="I20" s="10" t="s">
        <v>138</v>
      </c>
      <c r="J20" s="10"/>
      <c r="K20" s="9" t="s">
        <v>139</v>
      </c>
      <c r="L20" s="9" t="s">
        <v>61</v>
      </c>
      <c r="M20" s="10" t="s">
        <v>140</v>
      </c>
      <c r="N20" s="10"/>
      <c r="O20" s="9" t="s">
        <v>121</v>
      </c>
      <c r="P20" s="9" t="s">
        <v>73</v>
      </c>
      <c r="Q20" s="10" t="s">
        <v>141</v>
      </c>
      <c r="R20" s="10"/>
      <c r="S20" s="21" t="str">
        <f>"567,5"</f>
        <v>567,5</v>
      </c>
      <c r="T20" s="25" t="str">
        <f>"364,3917"</f>
        <v>364,3917</v>
      </c>
      <c r="U20" s="8" t="s">
        <v>48</v>
      </c>
    </row>
    <row r="21" spans="1:21" ht="12.75">
      <c r="A21" s="22" t="s">
        <v>142</v>
      </c>
      <c r="B21" s="11" t="s">
        <v>143</v>
      </c>
      <c r="C21" s="11" t="s">
        <v>144</v>
      </c>
      <c r="D21" s="11" t="str">
        <f>"0,6388"</f>
        <v>0,6388</v>
      </c>
      <c r="E21" s="11" t="s">
        <v>17</v>
      </c>
      <c r="F21" s="11" t="s">
        <v>18</v>
      </c>
      <c r="G21" s="12" t="s">
        <v>74</v>
      </c>
      <c r="H21" s="12" t="s">
        <v>145</v>
      </c>
      <c r="I21" s="12" t="s">
        <v>131</v>
      </c>
      <c r="J21" s="13"/>
      <c r="K21" s="12" t="s">
        <v>54</v>
      </c>
      <c r="L21" s="12" t="s">
        <v>146</v>
      </c>
      <c r="M21" s="12" t="s">
        <v>140</v>
      </c>
      <c r="N21" s="13"/>
      <c r="O21" s="12" t="s">
        <v>128</v>
      </c>
      <c r="P21" s="12" t="s">
        <v>129</v>
      </c>
      <c r="Q21" s="12" t="s">
        <v>147</v>
      </c>
      <c r="R21" s="13"/>
      <c r="S21" s="22" t="str">
        <f>"645,0"</f>
        <v>645,0</v>
      </c>
      <c r="T21" s="26" t="str">
        <f>"412,0260"</f>
        <v>412,0260</v>
      </c>
      <c r="U21" s="11" t="s">
        <v>48</v>
      </c>
    </row>
    <row r="23" ht="15">
      <c r="E23" s="14" t="s">
        <v>79</v>
      </c>
    </row>
    <row r="24" ht="15">
      <c r="E24" s="14" t="s">
        <v>80</v>
      </c>
    </row>
    <row r="25" ht="15">
      <c r="E25" s="14" t="s">
        <v>81</v>
      </c>
    </row>
    <row r="26" ht="15">
      <c r="E26" s="14" t="s">
        <v>82</v>
      </c>
    </row>
    <row r="27" ht="15">
      <c r="E27" s="14" t="s">
        <v>82</v>
      </c>
    </row>
    <row r="28" ht="15">
      <c r="E28" s="14" t="s">
        <v>83</v>
      </c>
    </row>
    <row r="29" ht="15">
      <c r="E29" s="14"/>
    </row>
  </sheetData>
  <sheetProtection/>
  <mergeCells count="18">
    <mergeCell ref="A14:T14"/>
    <mergeCell ref="A19:T19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6.375" style="4" bestFit="1" customWidth="1"/>
    <col min="2" max="2" width="22.75390625" style="4" bestFit="1" customWidth="1"/>
    <col min="3" max="3" width="9.75390625" style="4" bestFit="1" customWidth="1"/>
    <col min="4" max="4" width="7.625" style="4" bestFit="1" customWidth="1"/>
    <col min="5" max="5" width="21.625" style="4" bestFit="1" customWidth="1"/>
    <col min="6" max="6" width="33.125" style="4" bestFit="1" customWidth="1"/>
    <col min="7" max="7" width="5.375" style="3" bestFit="1" customWidth="1"/>
    <col min="8" max="8" width="4.375" style="3" bestFit="1" customWidth="1"/>
    <col min="9" max="9" width="12.375" style="4" customWidth="1"/>
    <col min="10" max="10" width="9.375" style="3" bestFit="1" customWidth="1"/>
    <col min="11" max="11" width="7.875" style="4" bestFit="1" customWidth="1"/>
    <col min="12" max="16384" width="9.125" style="3" customWidth="1"/>
  </cols>
  <sheetData>
    <row r="1" spans="1:11" s="2" customFormat="1" ht="28.5" customHeight="1">
      <c r="A1" s="40" t="s">
        <v>524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11</v>
      </c>
      <c r="D3" s="50" t="s">
        <v>495</v>
      </c>
      <c r="E3" s="50" t="s">
        <v>7</v>
      </c>
      <c r="F3" s="50" t="s">
        <v>10</v>
      </c>
      <c r="G3" s="50" t="s">
        <v>2</v>
      </c>
      <c r="H3" s="50"/>
      <c r="I3" s="50" t="s">
        <v>193</v>
      </c>
      <c r="J3" s="50" t="s">
        <v>6</v>
      </c>
      <c r="K3" s="34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0">
        <v>1</v>
      </c>
      <c r="H4" s="20">
        <v>2</v>
      </c>
      <c r="I4" s="49"/>
      <c r="J4" s="49"/>
      <c r="K4" s="35"/>
    </row>
    <row r="5" spans="1:10" ht="15">
      <c r="A5" s="36" t="s">
        <v>171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A6" s="23" t="s">
        <v>512</v>
      </c>
      <c r="B6" s="5" t="s">
        <v>513</v>
      </c>
      <c r="C6" s="5" t="s">
        <v>514</v>
      </c>
      <c r="D6" s="5" t="str">
        <f>"0,6612"</f>
        <v>0,6612</v>
      </c>
      <c r="E6" s="5" t="s">
        <v>541</v>
      </c>
      <c r="F6" s="5" t="s">
        <v>343</v>
      </c>
      <c r="G6" s="6" t="s">
        <v>20</v>
      </c>
      <c r="H6" s="6" t="s">
        <v>515</v>
      </c>
      <c r="I6" s="23" t="str">
        <f>"3520,0"</f>
        <v>3520,0</v>
      </c>
      <c r="J6" s="27" t="str">
        <f>"2327,4240"</f>
        <v>2327,4240</v>
      </c>
      <c r="K6" s="5"/>
    </row>
    <row r="8" spans="1:10" ht="15">
      <c r="A8" s="38" t="s">
        <v>62</v>
      </c>
      <c r="B8" s="39"/>
      <c r="C8" s="39"/>
      <c r="D8" s="39"/>
      <c r="E8" s="39"/>
      <c r="F8" s="39"/>
      <c r="G8" s="39"/>
      <c r="H8" s="39"/>
      <c r="I8" s="39"/>
      <c r="J8" s="39"/>
    </row>
    <row r="9" spans="1:11" ht="12.75">
      <c r="A9" s="23" t="s">
        <v>516</v>
      </c>
      <c r="B9" s="5" t="s">
        <v>517</v>
      </c>
      <c r="C9" s="5" t="s">
        <v>518</v>
      </c>
      <c r="D9" s="5" t="str">
        <f>"0,6119"</f>
        <v>0,6119</v>
      </c>
      <c r="E9" s="5" t="s">
        <v>17</v>
      </c>
      <c r="F9" s="5" t="s">
        <v>18</v>
      </c>
      <c r="G9" s="6" t="s">
        <v>33</v>
      </c>
      <c r="H9" s="6" t="s">
        <v>519</v>
      </c>
      <c r="I9" s="23" t="str">
        <f>"2430,0"</f>
        <v>2430,0</v>
      </c>
      <c r="J9" s="27" t="str">
        <f>"1486,7956"</f>
        <v>1486,7956</v>
      </c>
      <c r="K9" s="5"/>
    </row>
    <row r="11" spans="1:10" ht="15">
      <c r="A11" s="38" t="s">
        <v>228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1" ht="12.75">
      <c r="A12" s="23" t="s">
        <v>520</v>
      </c>
      <c r="B12" s="5" t="s">
        <v>521</v>
      </c>
      <c r="C12" s="5" t="s">
        <v>522</v>
      </c>
      <c r="D12" s="5" t="str">
        <f>"0,5541"</f>
        <v>0,5541</v>
      </c>
      <c r="E12" s="5" t="s">
        <v>541</v>
      </c>
      <c r="F12" s="5" t="s">
        <v>343</v>
      </c>
      <c r="G12" s="6" t="s">
        <v>38</v>
      </c>
      <c r="H12" s="6" t="s">
        <v>523</v>
      </c>
      <c r="I12" s="23" t="str">
        <f>"2232,5"</f>
        <v>2232,5</v>
      </c>
      <c r="J12" s="27" t="str">
        <f>"1236,9167"</f>
        <v>1236,9167</v>
      </c>
      <c r="K12" s="5"/>
    </row>
    <row r="14" ht="15">
      <c r="E14" s="14" t="s">
        <v>79</v>
      </c>
    </row>
    <row r="15" ht="15">
      <c r="E15" s="14" t="s">
        <v>80</v>
      </c>
    </row>
    <row r="16" ht="15">
      <c r="E16" s="14" t="s">
        <v>81</v>
      </c>
    </row>
    <row r="17" ht="15">
      <c r="E17" s="14" t="s">
        <v>82</v>
      </c>
    </row>
    <row r="18" ht="15">
      <c r="E18" s="14" t="s">
        <v>82</v>
      </c>
    </row>
    <row r="19" ht="15">
      <c r="E19" s="14" t="s">
        <v>83</v>
      </c>
    </row>
    <row r="20" ht="15">
      <c r="E20" s="14"/>
    </row>
  </sheetData>
  <sheetProtection/>
  <mergeCells count="14">
    <mergeCell ref="F3:F4"/>
    <mergeCell ref="G3:H3"/>
    <mergeCell ref="I3:I4"/>
    <mergeCell ref="J3:J4"/>
    <mergeCell ref="K3:K4"/>
    <mergeCell ref="A5:J5"/>
    <mergeCell ref="A8:J8"/>
    <mergeCell ref="A11:J11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B4">
      <selection activeCell="M23" sqref="M23"/>
    </sheetView>
  </sheetViews>
  <sheetFormatPr defaultColWidth="9.00390625" defaultRowHeight="12.75"/>
  <cols>
    <col min="1" max="1" width="28.625" style="4" bestFit="1" customWidth="1"/>
    <col min="2" max="2" width="29.125" style="4" bestFit="1" customWidth="1"/>
    <col min="3" max="3" width="9.75390625" style="4" bestFit="1" customWidth="1"/>
    <col min="4" max="4" width="7.625" style="4" bestFit="1" customWidth="1"/>
    <col min="5" max="5" width="21.625" style="4" bestFit="1" customWidth="1"/>
    <col min="6" max="6" width="33.125" style="4" bestFit="1" customWidth="1"/>
    <col min="7" max="10" width="5.375" style="3" bestFit="1" customWidth="1"/>
    <col min="11" max="11" width="11.25390625" style="4" customWidth="1"/>
    <col min="12" max="12" width="8.375" style="3" bestFit="1" customWidth="1"/>
    <col min="13" max="13" width="24.00390625" style="4" bestFit="1" customWidth="1"/>
    <col min="14" max="14" width="18.125" style="3" customWidth="1"/>
    <col min="15" max="16384" width="9.125" style="3" customWidth="1"/>
  </cols>
  <sheetData>
    <row r="1" spans="1:13" s="2" customFormat="1" ht="28.5" customHeight="1">
      <c r="A1" s="40" t="s">
        <v>539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11</v>
      </c>
      <c r="D3" s="50" t="s">
        <v>12</v>
      </c>
      <c r="E3" s="50" t="s">
        <v>7</v>
      </c>
      <c r="F3" s="50" t="s">
        <v>10</v>
      </c>
      <c r="G3" s="50" t="s">
        <v>3</v>
      </c>
      <c r="H3" s="50"/>
      <c r="I3" s="50"/>
      <c r="J3" s="50"/>
      <c r="K3" s="50" t="s">
        <v>193</v>
      </c>
      <c r="L3" s="50" t="s">
        <v>6</v>
      </c>
      <c r="M3" s="34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0">
        <v>1</v>
      </c>
      <c r="H4" s="20">
        <v>2</v>
      </c>
      <c r="I4" s="20">
        <v>3</v>
      </c>
      <c r="J4" s="20" t="s">
        <v>8</v>
      </c>
      <c r="K4" s="49"/>
      <c r="L4" s="49"/>
      <c r="M4" s="35"/>
    </row>
    <row r="5" spans="1:12" ht="15">
      <c r="A5" s="36" t="s">
        <v>95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21" t="s">
        <v>458</v>
      </c>
      <c r="B6" s="8" t="s">
        <v>459</v>
      </c>
      <c r="C6" s="8" t="s">
        <v>98</v>
      </c>
      <c r="D6" s="8" t="str">
        <f>"1,2654"</f>
        <v>1,2654</v>
      </c>
      <c r="E6" s="8" t="s">
        <v>17</v>
      </c>
      <c r="F6" s="8" t="s">
        <v>18</v>
      </c>
      <c r="G6" s="9" t="s">
        <v>460</v>
      </c>
      <c r="H6" s="9" t="s">
        <v>36</v>
      </c>
      <c r="I6" s="10" t="s">
        <v>66</v>
      </c>
      <c r="J6" s="10"/>
      <c r="K6" s="21" t="str">
        <f>"107,5"</f>
        <v>107,5</v>
      </c>
      <c r="L6" s="25" t="str">
        <f>"136,0305"</f>
        <v>136,0305</v>
      </c>
      <c r="M6" s="8"/>
    </row>
    <row r="7" spans="1:13" ht="12.75">
      <c r="A7" s="22" t="s">
        <v>492</v>
      </c>
      <c r="B7" s="11" t="s">
        <v>461</v>
      </c>
      <c r="C7" s="11" t="s">
        <v>462</v>
      </c>
      <c r="D7" s="11" t="str">
        <f>"1,2616"</f>
        <v>1,2616</v>
      </c>
      <c r="E7" s="11" t="s">
        <v>17</v>
      </c>
      <c r="F7" s="11" t="s">
        <v>18</v>
      </c>
      <c r="G7" s="12" t="s">
        <v>33</v>
      </c>
      <c r="H7" s="13" t="s">
        <v>460</v>
      </c>
      <c r="I7" s="13" t="s">
        <v>460</v>
      </c>
      <c r="J7" s="13"/>
      <c r="K7" s="22" t="str">
        <f>"90,0"</f>
        <v>90,0</v>
      </c>
      <c r="L7" s="26" t="str">
        <f>"113,5440"</f>
        <v>113,5440</v>
      </c>
      <c r="M7" s="11"/>
    </row>
    <row r="9" spans="1:12" ht="15">
      <c r="A9" s="38" t="s">
        <v>28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3" ht="12.75">
      <c r="A10" s="23" t="s">
        <v>463</v>
      </c>
      <c r="B10" s="5" t="s">
        <v>464</v>
      </c>
      <c r="C10" s="5" t="s">
        <v>31</v>
      </c>
      <c r="D10" s="5" t="str">
        <f>"1,0432"</f>
        <v>1,0432</v>
      </c>
      <c r="E10" s="5" t="s">
        <v>17</v>
      </c>
      <c r="F10" s="5" t="s">
        <v>18</v>
      </c>
      <c r="G10" s="6" t="s">
        <v>32</v>
      </c>
      <c r="H10" s="6" t="s">
        <v>33</v>
      </c>
      <c r="I10" s="7" t="s">
        <v>42</v>
      </c>
      <c r="J10" s="7"/>
      <c r="K10" s="23" t="str">
        <f>"90,0"</f>
        <v>90,0</v>
      </c>
      <c r="L10" s="27" t="str">
        <f>"93,8880"</f>
        <v>93,8880</v>
      </c>
      <c r="M10" s="5"/>
    </row>
    <row r="12" spans="1:12" ht="15">
      <c r="A12" s="38" t="s">
        <v>28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3" ht="12.75">
      <c r="A13" s="21" t="s">
        <v>465</v>
      </c>
      <c r="B13" s="8" t="s">
        <v>466</v>
      </c>
      <c r="C13" s="8" t="s">
        <v>467</v>
      </c>
      <c r="D13" s="8" t="str">
        <f>"0,7804"</f>
        <v>0,7804</v>
      </c>
      <c r="E13" s="8" t="s">
        <v>541</v>
      </c>
      <c r="F13" s="8" t="s">
        <v>343</v>
      </c>
      <c r="G13" s="10" t="s">
        <v>47</v>
      </c>
      <c r="H13" s="9" t="s">
        <v>68</v>
      </c>
      <c r="I13" s="10" t="s">
        <v>188</v>
      </c>
      <c r="J13" s="10"/>
      <c r="K13" s="21" t="str">
        <f>"180,0"</f>
        <v>180,0</v>
      </c>
      <c r="L13" s="25" t="str">
        <f>"140,4720"</f>
        <v>140,4720</v>
      </c>
      <c r="M13" s="8" t="s">
        <v>551</v>
      </c>
    </row>
    <row r="14" spans="1:13" ht="12.75">
      <c r="A14" s="22" t="s">
        <v>468</v>
      </c>
      <c r="B14" s="11" t="s">
        <v>469</v>
      </c>
      <c r="C14" s="11" t="s">
        <v>470</v>
      </c>
      <c r="D14" s="11" t="str">
        <f>"0,7766"</f>
        <v>0,7766</v>
      </c>
      <c r="E14" s="11" t="s">
        <v>541</v>
      </c>
      <c r="F14" s="11" t="s">
        <v>343</v>
      </c>
      <c r="G14" s="13" t="s">
        <v>68</v>
      </c>
      <c r="H14" s="12" t="s">
        <v>121</v>
      </c>
      <c r="I14" s="13" t="s">
        <v>188</v>
      </c>
      <c r="J14" s="13"/>
      <c r="K14" s="22" t="str">
        <f>"190,0"</f>
        <v>190,0</v>
      </c>
      <c r="L14" s="26" t="str">
        <f>"147,5540"</f>
        <v>147,5540</v>
      </c>
      <c r="M14" s="5" t="s">
        <v>551</v>
      </c>
    </row>
    <row r="16" spans="1:12" ht="15">
      <c r="A16" s="38" t="s">
        <v>49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3" ht="12.75">
      <c r="A17" s="21" t="s">
        <v>471</v>
      </c>
      <c r="B17" s="8" t="s">
        <v>472</v>
      </c>
      <c r="C17" s="8" t="s">
        <v>473</v>
      </c>
      <c r="D17" s="8" t="str">
        <f>"0,7285"</f>
        <v>0,7285</v>
      </c>
      <c r="E17" s="8" t="s">
        <v>17</v>
      </c>
      <c r="F17" s="8" t="s">
        <v>18</v>
      </c>
      <c r="G17" s="9" t="s">
        <v>121</v>
      </c>
      <c r="H17" s="9" t="s">
        <v>224</v>
      </c>
      <c r="I17" s="10" t="s">
        <v>474</v>
      </c>
      <c r="J17" s="10"/>
      <c r="K17" s="21" t="str">
        <f>"195,0"</f>
        <v>195,0</v>
      </c>
      <c r="L17" s="25" t="str">
        <f>"142,0575"</f>
        <v>142,0575</v>
      </c>
      <c r="M17" s="8"/>
    </row>
    <row r="18" spans="1:13" ht="12.75">
      <c r="A18" s="22" t="s">
        <v>475</v>
      </c>
      <c r="B18" s="11" t="s">
        <v>391</v>
      </c>
      <c r="C18" s="11" t="s">
        <v>392</v>
      </c>
      <c r="D18" s="11" t="str">
        <f>"0,7126"</f>
        <v>0,7126</v>
      </c>
      <c r="E18" s="11" t="s">
        <v>541</v>
      </c>
      <c r="F18" s="11" t="s">
        <v>361</v>
      </c>
      <c r="G18" s="13" t="s">
        <v>68</v>
      </c>
      <c r="H18" s="12" t="s">
        <v>68</v>
      </c>
      <c r="I18" s="13" t="s">
        <v>127</v>
      </c>
      <c r="J18" s="13"/>
      <c r="K18" s="22" t="str">
        <f>"180,0"</f>
        <v>180,0</v>
      </c>
      <c r="L18" s="26" t="str">
        <f>"129,5507"</f>
        <v>129,5507</v>
      </c>
      <c r="M18" s="11"/>
    </row>
    <row r="20" spans="1:12" ht="15">
      <c r="A20" s="38" t="s">
        <v>171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3" ht="12.75">
      <c r="A21" s="21" t="s">
        <v>476</v>
      </c>
      <c r="B21" s="8" t="s">
        <v>477</v>
      </c>
      <c r="C21" s="8" t="s">
        <v>348</v>
      </c>
      <c r="D21" s="8" t="str">
        <f>"0,6704"</f>
        <v>0,6704</v>
      </c>
      <c r="E21" s="8" t="s">
        <v>125</v>
      </c>
      <c r="F21" s="8" t="s">
        <v>418</v>
      </c>
      <c r="G21" s="10" t="s">
        <v>128</v>
      </c>
      <c r="H21" s="9" t="s">
        <v>128</v>
      </c>
      <c r="I21" s="10" t="s">
        <v>137</v>
      </c>
      <c r="J21" s="10"/>
      <c r="K21" s="21" t="str">
        <f>"215,0"</f>
        <v>215,0</v>
      </c>
      <c r="L21" s="25" t="str">
        <f>"144,1360"</f>
        <v>144,1360</v>
      </c>
      <c r="M21" s="8"/>
    </row>
    <row r="22" spans="1:13" ht="12.75">
      <c r="A22" s="24" t="s">
        <v>478</v>
      </c>
      <c r="B22" s="17" t="s">
        <v>479</v>
      </c>
      <c r="C22" s="17" t="s">
        <v>480</v>
      </c>
      <c r="D22" s="17" t="str">
        <f>"0,6822"</f>
        <v>0,6822</v>
      </c>
      <c r="E22" s="17" t="s">
        <v>17</v>
      </c>
      <c r="F22" s="17" t="s">
        <v>18</v>
      </c>
      <c r="G22" s="19" t="s">
        <v>369</v>
      </c>
      <c r="H22" s="19" t="s">
        <v>474</v>
      </c>
      <c r="I22" s="19" t="s">
        <v>481</v>
      </c>
      <c r="J22" s="18"/>
      <c r="K22" s="24" t="str">
        <f>"212,5"</f>
        <v>212,5</v>
      </c>
      <c r="L22" s="28" t="str">
        <f>"144,9675"</f>
        <v>144,9675</v>
      </c>
      <c r="M22" s="17" t="s">
        <v>556</v>
      </c>
    </row>
    <row r="23" spans="1:14" ht="12.75">
      <c r="A23" s="72" t="s">
        <v>322</v>
      </c>
      <c r="B23" s="73" t="s">
        <v>323</v>
      </c>
      <c r="C23" s="73" t="s">
        <v>482</v>
      </c>
      <c r="D23" s="73" t="str">
        <f>"0,6806"</f>
        <v>0,6806</v>
      </c>
      <c r="E23" s="73" t="s">
        <v>17</v>
      </c>
      <c r="F23" s="73" t="s">
        <v>18</v>
      </c>
      <c r="G23" s="74" t="s">
        <v>74</v>
      </c>
      <c r="H23" s="74" t="s">
        <v>129</v>
      </c>
      <c r="I23" s="75" t="s">
        <v>130</v>
      </c>
      <c r="J23" s="75"/>
      <c r="K23" s="72" t="str">
        <f>"230,0"</f>
        <v>230,0</v>
      </c>
      <c r="L23" s="76" t="str">
        <f>"156,5380"</f>
        <v>156,5380</v>
      </c>
      <c r="M23" s="73" t="s">
        <v>555</v>
      </c>
      <c r="N23" s="60" t="s">
        <v>566</v>
      </c>
    </row>
    <row r="24" spans="1:13" ht="12.75">
      <c r="A24" s="22" t="s">
        <v>483</v>
      </c>
      <c r="B24" s="11" t="s">
        <v>484</v>
      </c>
      <c r="C24" s="11" t="s">
        <v>300</v>
      </c>
      <c r="D24" s="11" t="str">
        <f>"0,6729"</f>
        <v>0,6729</v>
      </c>
      <c r="E24" s="11" t="s">
        <v>563</v>
      </c>
      <c r="F24" s="11" t="s">
        <v>485</v>
      </c>
      <c r="G24" s="12" t="s">
        <v>73</v>
      </c>
      <c r="H24" s="12" t="s">
        <v>128</v>
      </c>
      <c r="I24" s="13" t="s">
        <v>74</v>
      </c>
      <c r="J24" s="13"/>
      <c r="K24" s="22" t="str">
        <f>"215,0"</f>
        <v>215,0</v>
      </c>
      <c r="L24" s="26" t="str">
        <f>"144,6735"</f>
        <v>144,6735</v>
      </c>
      <c r="M24" s="11" t="s">
        <v>564</v>
      </c>
    </row>
    <row r="26" spans="1:12" ht="15">
      <c r="A26" s="38" t="s">
        <v>62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3" ht="12.75">
      <c r="A27" s="23" t="s">
        <v>486</v>
      </c>
      <c r="B27" s="5" t="s">
        <v>487</v>
      </c>
      <c r="C27" s="5" t="s">
        <v>357</v>
      </c>
      <c r="D27" s="5" t="str">
        <f>"0,6428"</f>
        <v>0,6428</v>
      </c>
      <c r="E27" s="5" t="s">
        <v>17</v>
      </c>
      <c r="F27" s="5" t="s">
        <v>18</v>
      </c>
      <c r="G27" s="6" t="s">
        <v>68</v>
      </c>
      <c r="H27" s="6" t="s">
        <v>369</v>
      </c>
      <c r="I27" s="7" t="s">
        <v>136</v>
      </c>
      <c r="J27" s="7"/>
      <c r="K27" s="23" t="str">
        <f>"192,5"</f>
        <v>192,5</v>
      </c>
      <c r="L27" s="27" t="str">
        <f>"124,9764"</f>
        <v>124,9764</v>
      </c>
      <c r="M27" s="5" t="s">
        <v>488</v>
      </c>
    </row>
    <row r="29" spans="1:12" ht="15">
      <c r="A29" s="38" t="s">
        <v>184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3" ht="12.75">
      <c r="A30" s="21" t="s">
        <v>489</v>
      </c>
      <c r="B30" s="8" t="s">
        <v>327</v>
      </c>
      <c r="C30" s="8" t="s">
        <v>328</v>
      </c>
      <c r="D30" s="8" t="str">
        <f>"0,6188"</f>
        <v>0,6188</v>
      </c>
      <c r="E30" s="8" t="s">
        <v>17</v>
      </c>
      <c r="F30" s="8" t="s">
        <v>18</v>
      </c>
      <c r="G30" s="10" t="s">
        <v>129</v>
      </c>
      <c r="H30" s="10" t="s">
        <v>130</v>
      </c>
      <c r="I30" s="9" t="s">
        <v>130</v>
      </c>
      <c r="J30" s="10" t="s">
        <v>329</v>
      </c>
      <c r="K30" s="21" t="str">
        <f>"240,0"</f>
        <v>240,0</v>
      </c>
      <c r="L30" s="25" t="str">
        <f>"148,5120"</f>
        <v>148,5120</v>
      </c>
      <c r="M30" s="8" t="s">
        <v>330</v>
      </c>
    </row>
    <row r="31" spans="1:13" ht="12.75">
      <c r="A31" s="22" t="s">
        <v>490</v>
      </c>
      <c r="B31" s="11" t="s">
        <v>491</v>
      </c>
      <c r="C31" s="11" t="s">
        <v>423</v>
      </c>
      <c r="D31" s="11" t="str">
        <f>"0,6111"</f>
        <v>0,6111</v>
      </c>
      <c r="E31" s="11" t="s">
        <v>541</v>
      </c>
      <c r="F31" s="11" t="s">
        <v>343</v>
      </c>
      <c r="G31" s="12" t="s">
        <v>141</v>
      </c>
      <c r="H31" s="13" t="s">
        <v>75</v>
      </c>
      <c r="I31" s="13" t="s">
        <v>75</v>
      </c>
      <c r="J31" s="13"/>
      <c r="K31" s="22" t="str">
        <f>"225,0"</f>
        <v>225,0</v>
      </c>
      <c r="L31" s="26" t="str">
        <f>"137,4975"</f>
        <v>137,4975</v>
      </c>
      <c r="M31" s="11"/>
    </row>
    <row r="33" ht="15">
      <c r="E33" s="14" t="s">
        <v>79</v>
      </c>
    </row>
    <row r="34" ht="15">
      <c r="E34" s="14" t="s">
        <v>80</v>
      </c>
    </row>
    <row r="35" ht="15">
      <c r="E35" s="14" t="s">
        <v>81</v>
      </c>
    </row>
    <row r="36" ht="15">
      <c r="E36" s="14" t="s">
        <v>82</v>
      </c>
    </row>
    <row r="37" ht="15">
      <c r="E37" s="14" t="s">
        <v>82</v>
      </c>
    </row>
    <row r="38" ht="15">
      <c r="E38" s="14" t="s">
        <v>83</v>
      </c>
    </row>
    <row r="39" ht="15">
      <c r="E39" s="14"/>
    </row>
  </sheetData>
  <sheetProtection/>
  <mergeCells count="18">
    <mergeCell ref="A16:L16"/>
    <mergeCell ref="A20:L20"/>
    <mergeCell ref="A26:L26"/>
    <mergeCell ref="A29:L29"/>
    <mergeCell ref="K3:K4"/>
    <mergeCell ref="L3:L4"/>
    <mergeCell ref="F3:F4"/>
    <mergeCell ref="G3:J3"/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E1">
      <selection activeCell="K13" sqref="K13"/>
    </sheetView>
  </sheetViews>
  <sheetFormatPr defaultColWidth="9.00390625" defaultRowHeight="12.75"/>
  <cols>
    <col min="1" max="1" width="28.25390625" style="4" bestFit="1" customWidth="1"/>
    <col min="2" max="2" width="29.125" style="4" bestFit="1" customWidth="1"/>
    <col min="3" max="3" width="9.75390625" style="4" bestFit="1" customWidth="1"/>
    <col min="4" max="4" width="7.625" style="4" bestFit="1" customWidth="1"/>
    <col min="5" max="5" width="21.625" style="4" bestFit="1" customWidth="1"/>
    <col min="6" max="6" width="33.125" style="4" bestFit="1" customWidth="1"/>
    <col min="7" max="9" width="5.375" style="3" bestFit="1" customWidth="1"/>
    <col min="10" max="10" width="4.25390625" style="3" bestFit="1" customWidth="1"/>
    <col min="11" max="11" width="11.125" style="4" customWidth="1"/>
    <col min="12" max="12" width="8.375" style="3" bestFit="1" customWidth="1"/>
    <col min="13" max="13" width="30.875" style="4" bestFit="1" customWidth="1"/>
    <col min="14" max="16384" width="9.125" style="3" customWidth="1"/>
  </cols>
  <sheetData>
    <row r="1" spans="1:13" s="2" customFormat="1" ht="28.5" customHeight="1">
      <c r="A1" s="40" t="s">
        <v>536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11</v>
      </c>
      <c r="D3" s="50" t="s">
        <v>12</v>
      </c>
      <c r="E3" s="50" t="s">
        <v>7</v>
      </c>
      <c r="F3" s="50" t="s">
        <v>10</v>
      </c>
      <c r="G3" s="50" t="s">
        <v>2</v>
      </c>
      <c r="H3" s="50"/>
      <c r="I3" s="50"/>
      <c r="J3" s="50"/>
      <c r="K3" s="50" t="s">
        <v>193</v>
      </c>
      <c r="L3" s="50" t="s">
        <v>6</v>
      </c>
      <c r="M3" s="34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0">
        <v>1</v>
      </c>
      <c r="H4" s="20">
        <v>2</v>
      </c>
      <c r="I4" s="20">
        <v>3</v>
      </c>
      <c r="J4" s="20" t="s">
        <v>8</v>
      </c>
      <c r="K4" s="49"/>
      <c r="L4" s="49"/>
      <c r="M4" s="35"/>
    </row>
    <row r="5" spans="1:12" ht="15">
      <c r="A5" s="36" t="s">
        <v>108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23" t="s">
        <v>338</v>
      </c>
      <c r="B6" s="5" t="s">
        <v>339</v>
      </c>
      <c r="C6" s="5" t="s">
        <v>245</v>
      </c>
      <c r="D6" s="5" t="str">
        <f>"1,1933"</f>
        <v>1,1933</v>
      </c>
      <c r="E6" s="5" t="s">
        <v>17</v>
      </c>
      <c r="F6" s="5" t="s">
        <v>18</v>
      </c>
      <c r="G6" s="6" t="s">
        <v>24</v>
      </c>
      <c r="H6" s="6" t="s">
        <v>289</v>
      </c>
      <c r="I6" s="7" t="s">
        <v>165</v>
      </c>
      <c r="J6" s="7"/>
      <c r="K6" s="23" t="str">
        <f>"62,5"</f>
        <v>62,5</v>
      </c>
      <c r="L6" s="27" t="str">
        <f>"74,5813"</f>
        <v>74,5813</v>
      </c>
      <c r="M6" s="5" t="s">
        <v>542</v>
      </c>
    </row>
    <row r="8" spans="1:12" ht="15">
      <c r="A8" s="38" t="s">
        <v>49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3" ht="12.75">
      <c r="A9" s="23" t="s">
        <v>340</v>
      </c>
      <c r="B9" s="5" t="s">
        <v>341</v>
      </c>
      <c r="C9" s="5" t="s">
        <v>342</v>
      </c>
      <c r="D9" s="5" t="str">
        <f>"0,7278"</f>
        <v>0,7278</v>
      </c>
      <c r="E9" s="5" t="s">
        <v>541</v>
      </c>
      <c r="F9" s="5" t="s">
        <v>343</v>
      </c>
      <c r="G9" s="6" t="s">
        <v>116</v>
      </c>
      <c r="H9" s="6" t="s">
        <v>344</v>
      </c>
      <c r="I9" s="6" t="s">
        <v>60</v>
      </c>
      <c r="J9" s="7"/>
      <c r="K9" s="23" t="str">
        <f>"135,0"</f>
        <v>135,0</v>
      </c>
      <c r="L9" s="27" t="str">
        <f>"98,2530"</f>
        <v>98,2530</v>
      </c>
      <c r="M9" s="5" t="s">
        <v>345</v>
      </c>
    </row>
    <row r="11" spans="1:12" ht="15">
      <c r="A11" s="38" t="s">
        <v>171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3" ht="12.75">
      <c r="A12" s="23" t="s">
        <v>346</v>
      </c>
      <c r="B12" s="5" t="s">
        <v>347</v>
      </c>
      <c r="C12" s="5" t="s">
        <v>348</v>
      </c>
      <c r="D12" s="5" t="str">
        <f>"0,6704"</f>
        <v>0,6704</v>
      </c>
      <c r="E12" s="5" t="s">
        <v>17</v>
      </c>
      <c r="F12" s="5" t="s">
        <v>18</v>
      </c>
      <c r="G12" s="6" t="s">
        <v>116</v>
      </c>
      <c r="H12" s="6" t="s">
        <v>60</v>
      </c>
      <c r="I12" s="7" t="s">
        <v>139</v>
      </c>
      <c r="J12" s="7"/>
      <c r="K12" s="23" t="str">
        <f>"135,0"</f>
        <v>135,0</v>
      </c>
      <c r="L12" s="27" t="str">
        <f>"90,5040"</f>
        <v>90,5040</v>
      </c>
      <c r="M12" s="5"/>
    </row>
    <row r="14" spans="1:12" ht="15">
      <c r="A14" s="38" t="s">
        <v>62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3" ht="12.75">
      <c r="A15" s="21" t="s">
        <v>349</v>
      </c>
      <c r="B15" s="8" t="s">
        <v>350</v>
      </c>
      <c r="C15" s="8" t="s">
        <v>351</v>
      </c>
      <c r="D15" s="8" t="str">
        <f>"0,6455"</f>
        <v>0,6455</v>
      </c>
      <c r="E15" s="8" t="s">
        <v>17</v>
      </c>
      <c r="F15" s="8" t="s">
        <v>18</v>
      </c>
      <c r="G15" s="9" t="s">
        <v>120</v>
      </c>
      <c r="H15" s="9" t="s">
        <v>60</v>
      </c>
      <c r="I15" s="10" t="s">
        <v>53</v>
      </c>
      <c r="J15" s="10"/>
      <c r="K15" s="21" t="str">
        <f>"135,0"</f>
        <v>135,0</v>
      </c>
      <c r="L15" s="25" t="str">
        <f>"87,1425"</f>
        <v>87,1425</v>
      </c>
      <c r="M15" s="8"/>
    </row>
    <row r="16" spans="1:13" ht="12.75">
      <c r="A16" s="24" t="s">
        <v>352</v>
      </c>
      <c r="B16" s="17" t="s">
        <v>353</v>
      </c>
      <c r="C16" s="17" t="s">
        <v>354</v>
      </c>
      <c r="D16" s="17" t="str">
        <f>"0,6579"</f>
        <v>0,6579</v>
      </c>
      <c r="E16" s="17" t="s">
        <v>17</v>
      </c>
      <c r="F16" s="17" t="s">
        <v>18</v>
      </c>
      <c r="G16" s="19" t="s">
        <v>43</v>
      </c>
      <c r="H16" s="19" t="s">
        <v>120</v>
      </c>
      <c r="I16" s="18" t="s">
        <v>60</v>
      </c>
      <c r="J16" s="18"/>
      <c r="K16" s="24" t="str">
        <f>"130,0"</f>
        <v>130,0</v>
      </c>
      <c r="L16" s="28" t="str">
        <f>"85,5270"</f>
        <v>85,5270</v>
      </c>
      <c r="M16" s="17"/>
    </row>
    <row r="17" spans="1:13" ht="12.75">
      <c r="A17" s="22" t="s">
        <v>355</v>
      </c>
      <c r="B17" s="11" t="s">
        <v>356</v>
      </c>
      <c r="C17" s="11" t="s">
        <v>357</v>
      </c>
      <c r="D17" s="11" t="str">
        <f>"0,6428"</f>
        <v>0,6428</v>
      </c>
      <c r="E17" s="11" t="s">
        <v>17</v>
      </c>
      <c r="F17" s="11" t="s">
        <v>18</v>
      </c>
      <c r="G17" s="12" t="s">
        <v>53</v>
      </c>
      <c r="H17" s="12" t="s">
        <v>45</v>
      </c>
      <c r="I17" s="13" t="s">
        <v>146</v>
      </c>
      <c r="J17" s="13"/>
      <c r="K17" s="22" t="str">
        <f>"150,0"</f>
        <v>150,0</v>
      </c>
      <c r="L17" s="26" t="str">
        <f>"96,4200"</f>
        <v>96,4200</v>
      </c>
      <c r="M17" s="11"/>
    </row>
    <row r="19" spans="1:12" ht="15">
      <c r="A19" s="38" t="s">
        <v>184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3" ht="12.75">
      <c r="A20" s="21" t="s">
        <v>358</v>
      </c>
      <c r="B20" s="8" t="s">
        <v>359</v>
      </c>
      <c r="C20" s="8" t="s">
        <v>360</v>
      </c>
      <c r="D20" s="8" t="str">
        <f>"0,6091"</f>
        <v>0,6091</v>
      </c>
      <c r="E20" s="8" t="s">
        <v>541</v>
      </c>
      <c r="F20" s="8" t="s">
        <v>361</v>
      </c>
      <c r="G20" s="9" t="s">
        <v>54</v>
      </c>
      <c r="H20" s="9" t="s">
        <v>55</v>
      </c>
      <c r="I20" s="10" t="s">
        <v>362</v>
      </c>
      <c r="J20" s="10"/>
      <c r="K20" s="21" t="str">
        <f>"160,0"</f>
        <v>160,0</v>
      </c>
      <c r="L20" s="25" t="str">
        <f>"97,4560"</f>
        <v>97,4560</v>
      </c>
      <c r="M20" s="8" t="s">
        <v>132</v>
      </c>
    </row>
    <row r="21" spans="1:13" ht="12.75">
      <c r="A21" s="22" t="s">
        <v>363</v>
      </c>
      <c r="B21" s="11" t="s">
        <v>364</v>
      </c>
      <c r="C21" s="11" t="s">
        <v>360</v>
      </c>
      <c r="D21" s="11" t="str">
        <f>"0,6091"</f>
        <v>0,6091</v>
      </c>
      <c r="E21" s="11" t="s">
        <v>17</v>
      </c>
      <c r="F21" s="11" t="s">
        <v>18</v>
      </c>
      <c r="G21" s="12" t="s">
        <v>55</v>
      </c>
      <c r="H21" s="13" t="s">
        <v>362</v>
      </c>
      <c r="I21" s="12" t="s">
        <v>362</v>
      </c>
      <c r="J21" s="13"/>
      <c r="K21" s="22" t="str">
        <f>"167,5"</f>
        <v>167,5</v>
      </c>
      <c r="L21" s="26" t="str">
        <f>"111,9206"</f>
        <v>111,9206</v>
      </c>
      <c r="M21" s="11"/>
    </row>
    <row r="23" spans="1:12" ht="15">
      <c r="A23" s="38" t="s">
        <v>69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3" ht="12.75">
      <c r="A24" s="21" t="s">
        <v>366</v>
      </c>
      <c r="B24" s="8" t="s">
        <v>367</v>
      </c>
      <c r="C24" s="8" t="s">
        <v>368</v>
      </c>
      <c r="D24" s="8" t="str">
        <f>"0,5923"</f>
        <v>0,5923</v>
      </c>
      <c r="E24" s="8" t="s">
        <v>125</v>
      </c>
      <c r="F24" s="8" t="s">
        <v>126</v>
      </c>
      <c r="G24" s="9" t="s">
        <v>68</v>
      </c>
      <c r="H24" s="9" t="s">
        <v>369</v>
      </c>
      <c r="I24" s="9" t="s">
        <v>224</v>
      </c>
      <c r="J24" s="10"/>
      <c r="K24" s="21" t="str">
        <f>"195,0"</f>
        <v>195,0</v>
      </c>
      <c r="L24" s="25" t="str">
        <f>"115,4985"</f>
        <v>115,4985</v>
      </c>
      <c r="M24" s="8"/>
    </row>
    <row r="25" spans="1:13" ht="12.75">
      <c r="A25" s="22" t="s">
        <v>370</v>
      </c>
      <c r="B25" s="11" t="s">
        <v>371</v>
      </c>
      <c r="C25" s="11" t="s">
        <v>372</v>
      </c>
      <c r="D25" s="11" t="str">
        <f>"0,5910"</f>
        <v>0,5910</v>
      </c>
      <c r="E25" s="11" t="s">
        <v>17</v>
      </c>
      <c r="F25" s="11" t="s">
        <v>18</v>
      </c>
      <c r="G25" s="12" t="s">
        <v>362</v>
      </c>
      <c r="H25" s="13" t="s">
        <v>373</v>
      </c>
      <c r="I25" s="13" t="s">
        <v>373</v>
      </c>
      <c r="J25" s="13"/>
      <c r="K25" s="22" t="str">
        <f>"167,5"</f>
        <v>167,5</v>
      </c>
      <c r="L25" s="26" t="str">
        <f>"104,4371"</f>
        <v>104,4371</v>
      </c>
      <c r="M25" s="11" t="s">
        <v>556</v>
      </c>
    </row>
    <row r="27" spans="1:12" ht="15">
      <c r="A27" s="38" t="s">
        <v>228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3" ht="12.75">
      <c r="A28" s="23" t="s">
        <v>374</v>
      </c>
      <c r="B28" s="5" t="s">
        <v>375</v>
      </c>
      <c r="C28" s="5" t="s">
        <v>376</v>
      </c>
      <c r="D28" s="5" t="str">
        <f>"0,5721"</f>
        <v>0,5721</v>
      </c>
      <c r="E28" s="5" t="s">
        <v>541</v>
      </c>
      <c r="F28" s="5" t="s">
        <v>361</v>
      </c>
      <c r="G28" s="6" t="s">
        <v>56</v>
      </c>
      <c r="H28" s="7" t="s">
        <v>224</v>
      </c>
      <c r="I28" s="6" t="s">
        <v>127</v>
      </c>
      <c r="J28" s="7"/>
      <c r="K28" s="23" t="str">
        <f>"200,0"</f>
        <v>200,0</v>
      </c>
      <c r="L28" s="27" t="str">
        <f>"114,4200"</f>
        <v>114,4200</v>
      </c>
      <c r="M28" s="5"/>
    </row>
    <row r="30" ht="15">
      <c r="E30" s="14" t="s">
        <v>79</v>
      </c>
    </row>
    <row r="31" ht="15">
      <c r="E31" s="14" t="s">
        <v>80</v>
      </c>
    </row>
    <row r="32" ht="15">
      <c r="E32" s="14" t="s">
        <v>81</v>
      </c>
    </row>
    <row r="33" ht="15">
      <c r="E33" s="14" t="s">
        <v>82</v>
      </c>
    </row>
    <row r="34" ht="15">
      <c r="E34" s="14" t="s">
        <v>82</v>
      </c>
    </row>
    <row r="35" ht="15">
      <c r="E35" s="14" t="s">
        <v>83</v>
      </c>
    </row>
    <row r="36" ht="15">
      <c r="E36" s="14"/>
    </row>
  </sheetData>
  <sheetProtection/>
  <mergeCells count="18">
    <mergeCell ref="A14:L14"/>
    <mergeCell ref="A19:L19"/>
    <mergeCell ref="A23:L23"/>
    <mergeCell ref="A27:L27"/>
    <mergeCell ref="K3:K4"/>
    <mergeCell ref="L3:L4"/>
    <mergeCell ref="F3:F4"/>
    <mergeCell ref="G3:J3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M3">
      <selection activeCell="P18" sqref="P18"/>
    </sheetView>
  </sheetViews>
  <sheetFormatPr defaultColWidth="9.00390625" defaultRowHeight="12.75"/>
  <cols>
    <col min="1" max="1" width="29.375" style="4" bestFit="1" customWidth="1"/>
    <col min="2" max="2" width="29.125" style="4" bestFit="1" customWidth="1"/>
    <col min="3" max="3" width="9.75390625" style="4" bestFit="1" customWidth="1"/>
    <col min="4" max="4" width="7.625" style="4" bestFit="1" customWidth="1"/>
    <col min="5" max="5" width="21.625" style="4" bestFit="1" customWidth="1"/>
    <col min="6" max="6" width="30.25390625" style="4" bestFit="1" customWidth="1"/>
    <col min="7" max="9" width="5.375" style="3" bestFit="1" customWidth="1"/>
    <col min="10" max="10" width="4.25390625" style="3" bestFit="1" customWidth="1"/>
    <col min="11" max="11" width="12.00390625" style="4" customWidth="1"/>
    <col min="12" max="12" width="8.375" style="3" bestFit="1" customWidth="1"/>
    <col min="13" max="13" width="30.875" style="4" bestFit="1" customWidth="1"/>
    <col min="14" max="14" width="17.125" style="3" customWidth="1"/>
    <col min="15" max="16384" width="9.125" style="3" customWidth="1"/>
  </cols>
  <sheetData>
    <row r="1" spans="1:13" s="2" customFormat="1" ht="28.5" customHeight="1">
      <c r="A1" s="40" t="s">
        <v>537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11</v>
      </c>
      <c r="D3" s="50" t="s">
        <v>12</v>
      </c>
      <c r="E3" s="50" t="s">
        <v>7</v>
      </c>
      <c r="F3" s="50" t="s">
        <v>10</v>
      </c>
      <c r="G3" s="50" t="s">
        <v>2</v>
      </c>
      <c r="H3" s="50"/>
      <c r="I3" s="50"/>
      <c r="J3" s="50"/>
      <c r="K3" s="50" t="s">
        <v>193</v>
      </c>
      <c r="L3" s="50" t="s">
        <v>6</v>
      </c>
      <c r="M3" s="34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0">
        <v>1</v>
      </c>
      <c r="H4" s="20">
        <v>2</v>
      </c>
      <c r="I4" s="20">
        <v>3</v>
      </c>
      <c r="J4" s="20" t="s">
        <v>8</v>
      </c>
      <c r="K4" s="49"/>
      <c r="L4" s="49"/>
      <c r="M4" s="35"/>
    </row>
    <row r="5" spans="1:12" ht="15">
      <c r="A5" s="36" t="s">
        <v>194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4" ht="12.75">
      <c r="A6" s="62" t="s">
        <v>311</v>
      </c>
      <c r="B6" s="63" t="s">
        <v>312</v>
      </c>
      <c r="C6" s="63" t="s">
        <v>378</v>
      </c>
      <c r="D6" s="63" t="str">
        <f>"1,3657"</f>
        <v>1,3657</v>
      </c>
      <c r="E6" s="63" t="s">
        <v>17</v>
      </c>
      <c r="F6" s="63" t="s">
        <v>18</v>
      </c>
      <c r="G6" s="64" t="s">
        <v>165</v>
      </c>
      <c r="H6" s="65"/>
      <c r="I6" s="65"/>
      <c r="J6" s="65"/>
      <c r="K6" s="62" t="str">
        <f>"65,0"</f>
        <v>65,0</v>
      </c>
      <c r="L6" s="66" t="str">
        <f>"88,7705"</f>
        <v>88,7705</v>
      </c>
      <c r="M6" s="63" t="s">
        <v>559</v>
      </c>
      <c r="N6" s="60" t="s">
        <v>566</v>
      </c>
    </row>
    <row r="8" spans="1:12" ht="15">
      <c r="A8" s="38" t="s">
        <v>13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3" ht="12.75">
      <c r="A9" s="23" t="s">
        <v>379</v>
      </c>
      <c r="B9" s="5" t="s">
        <v>380</v>
      </c>
      <c r="C9" s="5" t="s">
        <v>381</v>
      </c>
      <c r="D9" s="5" t="str">
        <f>"1,1163"</f>
        <v>1,1163</v>
      </c>
      <c r="E9" s="5" t="s">
        <v>17</v>
      </c>
      <c r="F9" s="5" t="s">
        <v>18</v>
      </c>
      <c r="G9" s="7" t="s">
        <v>112</v>
      </c>
      <c r="H9" s="6" t="s">
        <v>90</v>
      </c>
      <c r="I9" s="6" t="s">
        <v>289</v>
      </c>
      <c r="J9" s="7"/>
      <c r="K9" s="23" t="str">
        <f>"62,5"</f>
        <v>62,5</v>
      </c>
      <c r="L9" s="27" t="str">
        <f>"69,7687"</f>
        <v>69,7687</v>
      </c>
      <c r="M9" s="5"/>
    </row>
    <row r="11" spans="1:12" ht="15">
      <c r="A11" s="38" t="s">
        <v>49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3" ht="12.75">
      <c r="A12" s="21" t="s">
        <v>382</v>
      </c>
      <c r="B12" s="8" t="s">
        <v>383</v>
      </c>
      <c r="C12" s="8" t="s">
        <v>384</v>
      </c>
      <c r="D12" s="8" t="str">
        <f>"0,9563"</f>
        <v>0,9563</v>
      </c>
      <c r="E12" s="8" t="s">
        <v>17</v>
      </c>
      <c r="F12" s="8" t="s">
        <v>18</v>
      </c>
      <c r="G12" s="9" t="s">
        <v>90</v>
      </c>
      <c r="H12" s="10" t="s">
        <v>165</v>
      </c>
      <c r="I12" s="9" t="s">
        <v>165</v>
      </c>
      <c r="J12" s="10"/>
      <c r="K12" s="21" t="str">
        <f>"65,0"</f>
        <v>65,0</v>
      </c>
      <c r="L12" s="25" t="str">
        <f>"62,1595"</f>
        <v>62,1595</v>
      </c>
      <c r="M12" s="8" t="s">
        <v>544</v>
      </c>
    </row>
    <row r="13" spans="1:13" ht="12.75">
      <c r="A13" s="22" t="s">
        <v>385</v>
      </c>
      <c r="B13" s="11" t="s">
        <v>386</v>
      </c>
      <c r="C13" s="11" t="s">
        <v>106</v>
      </c>
      <c r="D13" s="11" t="str">
        <f>"0,9587"</f>
        <v>0,9587</v>
      </c>
      <c r="E13" s="11" t="s">
        <v>17</v>
      </c>
      <c r="F13" s="11" t="s">
        <v>18</v>
      </c>
      <c r="G13" s="12" t="s">
        <v>35</v>
      </c>
      <c r="H13" s="13" t="s">
        <v>24</v>
      </c>
      <c r="I13" s="13" t="s">
        <v>24</v>
      </c>
      <c r="J13" s="13"/>
      <c r="K13" s="22" t="str">
        <f>"50,0"</f>
        <v>50,0</v>
      </c>
      <c r="L13" s="26" t="str">
        <f>"49,4210"</f>
        <v>49,4210</v>
      </c>
      <c r="M13" s="11"/>
    </row>
    <row r="15" spans="1:12" ht="15">
      <c r="A15" s="38" t="s">
        <v>28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3" ht="12.75">
      <c r="A16" s="23" t="s">
        <v>387</v>
      </c>
      <c r="B16" s="5" t="s">
        <v>388</v>
      </c>
      <c r="C16" s="5" t="s">
        <v>389</v>
      </c>
      <c r="D16" s="5" t="str">
        <f>"0,7832"</f>
        <v>0,7832</v>
      </c>
      <c r="E16" s="5" t="s">
        <v>541</v>
      </c>
      <c r="F16" s="5" t="s">
        <v>361</v>
      </c>
      <c r="G16" s="6" t="s">
        <v>27</v>
      </c>
      <c r="H16" s="6" t="s">
        <v>43</v>
      </c>
      <c r="I16" s="7" t="s">
        <v>178</v>
      </c>
      <c r="J16" s="7"/>
      <c r="K16" s="23" t="str">
        <f>"120,0"</f>
        <v>120,0</v>
      </c>
      <c r="L16" s="27" t="str">
        <f>"93,9840"</f>
        <v>93,9840</v>
      </c>
      <c r="M16" s="5"/>
    </row>
    <row r="18" spans="1:12" ht="15">
      <c r="A18" s="38" t="s">
        <v>49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3" ht="12.75">
      <c r="A19" s="23" t="s">
        <v>390</v>
      </c>
      <c r="B19" s="5" t="s">
        <v>391</v>
      </c>
      <c r="C19" s="5" t="s">
        <v>392</v>
      </c>
      <c r="D19" s="5" t="str">
        <f>"0,7126"</f>
        <v>0,7126</v>
      </c>
      <c r="E19" s="5" t="s">
        <v>541</v>
      </c>
      <c r="F19" s="5" t="s">
        <v>361</v>
      </c>
      <c r="G19" s="6" t="s">
        <v>116</v>
      </c>
      <c r="H19" s="6" t="s">
        <v>60</v>
      </c>
      <c r="I19" s="7" t="s">
        <v>45</v>
      </c>
      <c r="J19" s="7"/>
      <c r="K19" s="23" t="str">
        <f>"135,0"</f>
        <v>135,0</v>
      </c>
      <c r="L19" s="27" t="str">
        <f>"97,1630"</f>
        <v>97,1630</v>
      </c>
      <c r="M19" s="5"/>
    </row>
    <row r="21" spans="1:12" ht="15">
      <c r="A21" s="38" t="s">
        <v>171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3" ht="12.75">
      <c r="A22" s="21" t="s">
        <v>393</v>
      </c>
      <c r="B22" s="8" t="s">
        <v>394</v>
      </c>
      <c r="C22" s="8" t="s">
        <v>348</v>
      </c>
      <c r="D22" s="8" t="str">
        <f>"0,6704"</f>
        <v>0,6704</v>
      </c>
      <c r="E22" s="8" t="s">
        <v>17</v>
      </c>
      <c r="F22" s="8" t="s">
        <v>18</v>
      </c>
      <c r="G22" s="10" t="s">
        <v>43</v>
      </c>
      <c r="H22" s="10" t="s">
        <v>120</v>
      </c>
      <c r="I22" s="9" t="s">
        <v>120</v>
      </c>
      <c r="J22" s="10"/>
      <c r="K22" s="21" t="str">
        <f>"130,0"</f>
        <v>130,0</v>
      </c>
      <c r="L22" s="25" t="str">
        <f>"87,1520"</f>
        <v>87,1520</v>
      </c>
      <c r="M22" s="8"/>
    </row>
    <row r="23" spans="1:13" ht="12.75">
      <c r="A23" s="24" t="s">
        <v>395</v>
      </c>
      <c r="B23" s="17" t="s">
        <v>396</v>
      </c>
      <c r="C23" s="17" t="s">
        <v>397</v>
      </c>
      <c r="D23" s="17" t="str">
        <f>"0,6779"</f>
        <v>0,6779</v>
      </c>
      <c r="E23" s="17" t="s">
        <v>562</v>
      </c>
      <c r="F23" s="17" t="s">
        <v>398</v>
      </c>
      <c r="G23" s="18" t="s">
        <v>120</v>
      </c>
      <c r="H23" s="18" t="s">
        <v>399</v>
      </c>
      <c r="I23" s="18" t="s">
        <v>399</v>
      </c>
      <c r="J23" s="18"/>
      <c r="K23" s="24" t="str">
        <f>"0,0"</f>
        <v>0,0</v>
      </c>
      <c r="L23" s="28" t="str">
        <f>"0,0000"</f>
        <v>0,0000</v>
      </c>
      <c r="M23" s="17" t="s">
        <v>560</v>
      </c>
    </row>
    <row r="24" spans="1:13" ht="12.75">
      <c r="A24" s="24" t="s">
        <v>400</v>
      </c>
      <c r="B24" s="17" t="s">
        <v>401</v>
      </c>
      <c r="C24" s="17" t="s">
        <v>300</v>
      </c>
      <c r="D24" s="17" t="str">
        <f>"0,6729"</f>
        <v>0,6729</v>
      </c>
      <c r="E24" s="17" t="s">
        <v>17</v>
      </c>
      <c r="F24" s="17" t="s">
        <v>18</v>
      </c>
      <c r="G24" s="19" t="s">
        <v>33</v>
      </c>
      <c r="H24" s="18" t="s">
        <v>246</v>
      </c>
      <c r="I24" s="18" t="s">
        <v>246</v>
      </c>
      <c r="J24" s="18"/>
      <c r="K24" s="24" t="str">
        <f>"90,0"</f>
        <v>90,0</v>
      </c>
      <c r="L24" s="28" t="str">
        <f>"63,1651"</f>
        <v>63,1651</v>
      </c>
      <c r="M24" s="17" t="s">
        <v>561</v>
      </c>
    </row>
    <row r="25" spans="1:13" ht="12.75">
      <c r="A25" s="22" t="s">
        <v>402</v>
      </c>
      <c r="B25" s="11" t="s">
        <v>403</v>
      </c>
      <c r="C25" s="11" t="s">
        <v>404</v>
      </c>
      <c r="D25" s="11" t="str">
        <f>"0,6800"</f>
        <v>0,6800</v>
      </c>
      <c r="E25" s="11" t="s">
        <v>17</v>
      </c>
      <c r="F25" s="11" t="s">
        <v>18</v>
      </c>
      <c r="G25" s="12" t="s">
        <v>21</v>
      </c>
      <c r="H25" s="12" t="s">
        <v>44</v>
      </c>
      <c r="I25" s="13" t="s">
        <v>25</v>
      </c>
      <c r="J25" s="13"/>
      <c r="K25" s="22" t="str">
        <f>"92,5"</f>
        <v>92,5</v>
      </c>
      <c r="L25" s="26" t="str">
        <f>"67,1772"</f>
        <v>67,1772</v>
      </c>
      <c r="M25" s="11"/>
    </row>
    <row r="27" spans="1:12" ht="15">
      <c r="A27" s="38" t="s">
        <v>62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3" ht="12.75">
      <c r="A28" s="21" t="s">
        <v>406</v>
      </c>
      <c r="B28" s="8" t="s">
        <v>407</v>
      </c>
      <c r="C28" s="8" t="s">
        <v>135</v>
      </c>
      <c r="D28" s="8" t="str">
        <f>"0,6421"</f>
        <v>0,6421</v>
      </c>
      <c r="E28" s="8" t="s">
        <v>17</v>
      </c>
      <c r="F28" s="8" t="s">
        <v>18</v>
      </c>
      <c r="G28" s="9" t="s">
        <v>47</v>
      </c>
      <c r="H28" s="9" t="s">
        <v>408</v>
      </c>
      <c r="I28" s="9" t="s">
        <v>68</v>
      </c>
      <c r="J28" s="10"/>
      <c r="K28" s="21" t="str">
        <f>"180,0"</f>
        <v>180,0</v>
      </c>
      <c r="L28" s="25" t="str">
        <f>"115,5780"</f>
        <v>115,5780</v>
      </c>
      <c r="M28" s="8" t="s">
        <v>48</v>
      </c>
    </row>
    <row r="29" spans="1:13" ht="12.75">
      <c r="A29" s="24" t="s">
        <v>409</v>
      </c>
      <c r="B29" s="17" t="s">
        <v>410</v>
      </c>
      <c r="C29" s="17" t="s">
        <v>336</v>
      </c>
      <c r="D29" s="17" t="str">
        <f>"0,6540"</f>
        <v>0,6540</v>
      </c>
      <c r="E29" s="17" t="s">
        <v>17</v>
      </c>
      <c r="F29" s="17" t="s">
        <v>18</v>
      </c>
      <c r="G29" s="19" t="s">
        <v>399</v>
      </c>
      <c r="H29" s="19" t="s">
        <v>146</v>
      </c>
      <c r="I29" s="19" t="s">
        <v>55</v>
      </c>
      <c r="J29" s="18"/>
      <c r="K29" s="24" t="str">
        <f>"160,0"</f>
        <v>160,0</v>
      </c>
      <c r="L29" s="28" t="str">
        <f>"104,6400"</f>
        <v>104,6400</v>
      </c>
      <c r="M29" s="17"/>
    </row>
    <row r="30" spans="1:13" ht="12.75">
      <c r="A30" s="22" t="s">
        <v>411</v>
      </c>
      <c r="B30" s="11" t="s">
        <v>412</v>
      </c>
      <c r="C30" s="11" t="s">
        <v>306</v>
      </c>
      <c r="D30" s="11" t="str">
        <f>"0,6463"</f>
        <v>0,6463</v>
      </c>
      <c r="E30" s="11" t="s">
        <v>17</v>
      </c>
      <c r="F30" s="11" t="s">
        <v>413</v>
      </c>
      <c r="G30" s="12" t="s">
        <v>60</v>
      </c>
      <c r="H30" s="12" t="s">
        <v>139</v>
      </c>
      <c r="I30" s="13" t="s">
        <v>399</v>
      </c>
      <c r="J30" s="13"/>
      <c r="K30" s="22" t="str">
        <f>"142,5"</f>
        <v>142,5</v>
      </c>
      <c r="L30" s="26" t="str">
        <f>"92,0978"</f>
        <v>92,0978</v>
      </c>
      <c r="M30" s="11"/>
    </row>
    <row r="32" spans="1:12" ht="15">
      <c r="A32" s="38" t="s">
        <v>184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3" ht="12.75">
      <c r="A33" s="21" t="s">
        <v>415</v>
      </c>
      <c r="B33" s="8" t="s">
        <v>416</v>
      </c>
      <c r="C33" s="8" t="s">
        <v>417</v>
      </c>
      <c r="D33" s="8" t="str">
        <f>"0,6123"</f>
        <v>0,6123</v>
      </c>
      <c r="E33" s="8" t="s">
        <v>125</v>
      </c>
      <c r="F33" s="8" t="s">
        <v>418</v>
      </c>
      <c r="G33" s="9" t="s">
        <v>362</v>
      </c>
      <c r="H33" s="10" t="s">
        <v>373</v>
      </c>
      <c r="I33" s="9" t="s">
        <v>373</v>
      </c>
      <c r="J33" s="10"/>
      <c r="K33" s="21" t="str">
        <f>"172,5"</f>
        <v>172,5</v>
      </c>
      <c r="L33" s="25" t="str">
        <f>"105,6217"</f>
        <v>105,6217</v>
      </c>
      <c r="M33" s="8"/>
    </row>
    <row r="34" spans="1:13" ht="12.75">
      <c r="A34" s="24" t="s">
        <v>419</v>
      </c>
      <c r="B34" s="17" t="s">
        <v>420</v>
      </c>
      <c r="C34" s="17" t="s">
        <v>360</v>
      </c>
      <c r="D34" s="17" t="str">
        <f>"0,6091"</f>
        <v>0,6091</v>
      </c>
      <c r="E34" s="17" t="s">
        <v>125</v>
      </c>
      <c r="F34" s="17" t="s">
        <v>126</v>
      </c>
      <c r="G34" s="19" t="s">
        <v>55</v>
      </c>
      <c r="H34" s="19" t="s">
        <v>46</v>
      </c>
      <c r="I34" s="18" t="s">
        <v>47</v>
      </c>
      <c r="J34" s="18"/>
      <c r="K34" s="24" t="str">
        <f>"165,0"</f>
        <v>165,0</v>
      </c>
      <c r="L34" s="28" t="str">
        <f>"100,5015"</f>
        <v>100,5015</v>
      </c>
      <c r="M34" s="17"/>
    </row>
    <row r="35" spans="1:13" ht="12.75">
      <c r="A35" s="22" t="s">
        <v>421</v>
      </c>
      <c r="B35" s="11" t="s">
        <v>422</v>
      </c>
      <c r="C35" s="11" t="s">
        <v>423</v>
      </c>
      <c r="D35" s="11" t="str">
        <f>"0,6111"</f>
        <v>0,6111</v>
      </c>
      <c r="E35" s="11" t="s">
        <v>125</v>
      </c>
      <c r="F35" s="11" t="s">
        <v>418</v>
      </c>
      <c r="G35" s="12" t="s">
        <v>46</v>
      </c>
      <c r="H35" s="13" t="s">
        <v>47</v>
      </c>
      <c r="I35" s="12" t="s">
        <v>47</v>
      </c>
      <c r="J35" s="13"/>
      <c r="K35" s="22" t="str">
        <f>"170,0"</f>
        <v>170,0</v>
      </c>
      <c r="L35" s="26" t="str">
        <f>"107,1075"</f>
        <v>107,1075</v>
      </c>
      <c r="M35" s="11"/>
    </row>
    <row r="37" spans="1:12" ht="15">
      <c r="A37" s="38" t="s">
        <v>69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4" ht="12.75">
      <c r="A38" s="55" t="s">
        <v>424</v>
      </c>
      <c r="B38" s="56" t="s">
        <v>425</v>
      </c>
      <c r="C38" s="56" t="s">
        <v>426</v>
      </c>
      <c r="D38" s="56" t="str">
        <f>"0,5980"</f>
        <v>0,5980</v>
      </c>
      <c r="E38" s="56" t="s">
        <v>17</v>
      </c>
      <c r="F38" s="56" t="s">
        <v>18</v>
      </c>
      <c r="G38" s="57" t="s">
        <v>121</v>
      </c>
      <c r="H38" s="57" t="s">
        <v>224</v>
      </c>
      <c r="I38" s="57" t="s">
        <v>127</v>
      </c>
      <c r="J38" s="58"/>
      <c r="K38" s="55" t="str">
        <f>"200,0"</f>
        <v>200,0</v>
      </c>
      <c r="L38" s="59" t="str">
        <f>"119,6000"</f>
        <v>119,6000</v>
      </c>
      <c r="M38" s="56"/>
      <c r="N38" s="61" t="s">
        <v>566</v>
      </c>
    </row>
    <row r="39" spans="1:13" ht="12.75">
      <c r="A39" s="24" t="s">
        <v>427</v>
      </c>
      <c r="B39" s="17" t="s">
        <v>367</v>
      </c>
      <c r="C39" s="17" t="s">
        <v>368</v>
      </c>
      <c r="D39" s="17" t="str">
        <f>"0,5923"</f>
        <v>0,5923</v>
      </c>
      <c r="E39" s="17" t="s">
        <v>125</v>
      </c>
      <c r="F39" s="17" t="s">
        <v>126</v>
      </c>
      <c r="G39" s="19" t="s">
        <v>68</v>
      </c>
      <c r="H39" s="19" t="s">
        <v>369</v>
      </c>
      <c r="I39" s="19" t="s">
        <v>224</v>
      </c>
      <c r="J39" s="18"/>
      <c r="K39" s="24" t="str">
        <f>"195,0"</f>
        <v>195,0</v>
      </c>
      <c r="L39" s="28" t="str">
        <f>"115,4985"</f>
        <v>115,4985</v>
      </c>
      <c r="M39" s="17"/>
    </row>
    <row r="40" spans="1:13" ht="12.75">
      <c r="A40" s="22" t="s">
        <v>428</v>
      </c>
      <c r="B40" s="11" t="s">
        <v>429</v>
      </c>
      <c r="C40" s="11" t="s">
        <v>426</v>
      </c>
      <c r="D40" s="11" t="str">
        <f>"0,5980"</f>
        <v>0,5980</v>
      </c>
      <c r="E40" s="11" t="s">
        <v>125</v>
      </c>
      <c r="F40" s="11" t="s">
        <v>126</v>
      </c>
      <c r="G40" s="12" t="s">
        <v>146</v>
      </c>
      <c r="H40" s="12" t="s">
        <v>430</v>
      </c>
      <c r="I40" s="12" t="s">
        <v>47</v>
      </c>
      <c r="J40" s="13"/>
      <c r="K40" s="22" t="str">
        <f>"170,0"</f>
        <v>170,0</v>
      </c>
      <c r="L40" s="26" t="str">
        <f>"101,6600"</f>
        <v>101,6600</v>
      </c>
      <c r="M40" s="11"/>
    </row>
    <row r="42" spans="1:12" ht="15">
      <c r="A42" s="38" t="s">
        <v>228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3" ht="12.75">
      <c r="A43" s="23" t="s">
        <v>431</v>
      </c>
      <c r="B43" s="5" t="s">
        <v>432</v>
      </c>
      <c r="C43" s="5" t="s">
        <v>433</v>
      </c>
      <c r="D43" s="5" t="str">
        <f>"0,5708"</f>
        <v>0,5708</v>
      </c>
      <c r="E43" s="5" t="s">
        <v>17</v>
      </c>
      <c r="F43" s="5" t="s">
        <v>18</v>
      </c>
      <c r="G43" s="6" t="s">
        <v>146</v>
      </c>
      <c r="H43" s="7" t="s">
        <v>46</v>
      </c>
      <c r="I43" s="7"/>
      <c r="J43" s="7"/>
      <c r="K43" s="23" t="str">
        <f>"155,0"</f>
        <v>155,0</v>
      </c>
      <c r="L43" s="27" t="str">
        <f>"88,4740"</f>
        <v>88,4740</v>
      </c>
      <c r="M43" s="5" t="s">
        <v>132</v>
      </c>
    </row>
    <row r="45" ht="15">
      <c r="E45" s="14" t="s">
        <v>79</v>
      </c>
    </row>
    <row r="46" ht="15">
      <c r="E46" s="14" t="s">
        <v>80</v>
      </c>
    </row>
    <row r="47" ht="15">
      <c r="E47" s="14" t="s">
        <v>81</v>
      </c>
    </row>
    <row r="48" ht="15">
      <c r="E48" s="14" t="s">
        <v>82</v>
      </c>
    </row>
    <row r="49" ht="15">
      <c r="E49" s="14" t="s">
        <v>82</v>
      </c>
    </row>
    <row r="50" ht="15">
      <c r="E50" s="14" t="s">
        <v>83</v>
      </c>
    </row>
    <row r="51" ht="15">
      <c r="E51" s="14"/>
    </row>
    <row r="53" spans="1:2" ht="18">
      <c r="A53" s="30" t="s">
        <v>84</v>
      </c>
      <c r="B53" s="30"/>
    </row>
    <row r="54" spans="1:2" ht="15">
      <c r="A54" s="31" t="s">
        <v>94</v>
      </c>
      <c r="B54" s="31"/>
    </row>
    <row r="55" spans="1:2" ht="14.25">
      <c r="A55" s="51" t="s">
        <v>92</v>
      </c>
      <c r="B55" s="51"/>
    </row>
    <row r="56" spans="1:5" ht="15">
      <c r="A56" s="15" t="s">
        <v>85</v>
      </c>
      <c r="B56" s="15" t="s">
        <v>86</v>
      </c>
      <c r="C56" s="15" t="s">
        <v>87</v>
      </c>
      <c r="D56" s="15" t="s">
        <v>88</v>
      </c>
      <c r="E56" s="15" t="s">
        <v>89</v>
      </c>
    </row>
    <row r="57" spans="1:5" ht="12.75">
      <c r="A57" s="29" t="s">
        <v>405</v>
      </c>
      <c r="B57" s="4" t="s">
        <v>92</v>
      </c>
      <c r="C57" s="4" t="s">
        <v>33</v>
      </c>
      <c r="D57" s="16" t="s">
        <v>68</v>
      </c>
      <c r="E57" s="16" t="s">
        <v>434</v>
      </c>
    </row>
    <row r="58" spans="1:5" ht="12.75">
      <c r="A58" s="29" t="s">
        <v>365</v>
      </c>
      <c r="B58" s="4" t="s">
        <v>92</v>
      </c>
      <c r="C58" s="4" t="s">
        <v>27</v>
      </c>
      <c r="D58" s="16" t="s">
        <v>224</v>
      </c>
      <c r="E58" s="16" t="s">
        <v>377</v>
      </c>
    </row>
    <row r="59" spans="1:5" ht="12.75">
      <c r="A59" s="29" t="s">
        <v>414</v>
      </c>
      <c r="B59" s="4" t="s">
        <v>92</v>
      </c>
      <c r="C59" s="4" t="s">
        <v>42</v>
      </c>
      <c r="D59" s="16" t="s">
        <v>373</v>
      </c>
      <c r="E59" s="16" t="s">
        <v>435</v>
      </c>
    </row>
  </sheetData>
  <sheetProtection/>
  <mergeCells count="22">
    <mergeCell ref="A32:L32"/>
    <mergeCell ref="A37:L37"/>
    <mergeCell ref="M3:M4"/>
    <mergeCell ref="A5:L5"/>
    <mergeCell ref="A8:L8"/>
    <mergeCell ref="A11:L11"/>
    <mergeCell ref="A42:L42"/>
    <mergeCell ref="A55:B55"/>
    <mergeCell ref="A15:L15"/>
    <mergeCell ref="A18:L18"/>
    <mergeCell ref="A21:L21"/>
    <mergeCell ref="A27:L2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S1">
      <selection activeCell="V2" sqref="V2"/>
    </sheetView>
  </sheetViews>
  <sheetFormatPr defaultColWidth="9.00390625" defaultRowHeight="12.75"/>
  <cols>
    <col min="1" max="1" width="26.25390625" style="4" bestFit="1" customWidth="1"/>
    <col min="2" max="2" width="27.875" style="4" bestFit="1" customWidth="1"/>
    <col min="3" max="3" width="9.75390625" style="4" bestFit="1" customWidth="1"/>
    <col min="4" max="4" width="7.625" style="4" bestFit="1" customWidth="1"/>
    <col min="5" max="5" width="21.625" style="4" bestFit="1" customWidth="1"/>
    <col min="6" max="6" width="28.00390625" style="4" bestFit="1" customWidth="1"/>
    <col min="7" max="9" width="5.375" style="3" bestFit="1" customWidth="1"/>
    <col min="10" max="10" width="4.25390625" style="3" bestFit="1" customWidth="1"/>
    <col min="11" max="13" width="5.375" style="3" bestFit="1" customWidth="1"/>
    <col min="14" max="14" width="4.25390625" style="3" bestFit="1" customWidth="1"/>
    <col min="15" max="17" width="5.375" style="3" bestFit="1" customWidth="1"/>
    <col min="18" max="18" width="4.25390625" style="3" bestFit="1" customWidth="1"/>
    <col min="19" max="19" width="7.125" style="4" bestFit="1" customWidth="1"/>
    <col min="20" max="20" width="8.375" style="3" bestFit="1" customWidth="1"/>
    <col min="21" max="21" width="30.375" style="4" bestFit="1" customWidth="1"/>
    <col min="22" max="22" width="16.625" style="3" customWidth="1"/>
    <col min="23" max="16384" width="9.125" style="3" customWidth="1"/>
  </cols>
  <sheetData>
    <row r="1" spans="1:21" s="2" customFormat="1" ht="28.5" customHeight="1">
      <c r="A1" s="40" t="s">
        <v>533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11</v>
      </c>
      <c r="D3" s="50" t="s">
        <v>12</v>
      </c>
      <c r="E3" s="50" t="s">
        <v>7</v>
      </c>
      <c r="F3" s="50" t="s">
        <v>10</v>
      </c>
      <c r="G3" s="50" t="s">
        <v>1</v>
      </c>
      <c r="H3" s="50"/>
      <c r="I3" s="50"/>
      <c r="J3" s="50"/>
      <c r="K3" s="50" t="s">
        <v>2</v>
      </c>
      <c r="L3" s="50"/>
      <c r="M3" s="50"/>
      <c r="N3" s="50"/>
      <c r="O3" s="50" t="s">
        <v>3</v>
      </c>
      <c r="P3" s="50"/>
      <c r="Q3" s="50"/>
      <c r="R3" s="50"/>
      <c r="S3" s="50" t="s">
        <v>4</v>
      </c>
      <c r="T3" s="50" t="s">
        <v>6</v>
      </c>
      <c r="U3" s="34" t="s">
        <v>5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20">
        <v>1</v>
      </c>
      <c r="H4" s="20">
        <v>2</v>
      </c>
      <c r="I4" s="20">
        <v>3</v>
      </c>
      <c r="J4" s="20" t="s">
        <v>8</v>
      </c>
      <c r="K4" s="20">
        <v>1</v>
      </c>
      <c r="L4" s="20">
        <v>2</v>
      </c>
      <c r="M4" s="20">
        <v>3</v>
      </c>
      <c r="N4" s="20" t="s">
        <v>8</v>
      </c>
      <c r="O4" s="20">
        <v>1</v>
      </c>
      <c r="P4" s="20">
        <v>2</v>
      </c>
      <c r="Q4" s="20">
        <v>3</v>
      </c>
      <c r="R4" s="20" t="s">
        <v>8</v>
      </c>
      <c r="S4" s="49"/>
      <c r="T4" s="49"/>
      <c r="U4" s="35"/>
    </row>
    <row r="5" spans="1:20" ht="15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1" ht="12.75">
      <c r="A6" s="23" t="s">
        <v>286</v>
      </c>
      <c r="B6" s="5" t="s">
        <v>287</v>
      </c>
      <c r="C6" s="5" t="s">
        <v>288</v>
      </c>
      <c r="D6" s="5" t="str">
        <f>"1,1447"</f>
        <v>1,1447</v>
      </c>
      <c r="E6" s="5" t="s">
        <v>17</v>
      </c>
      <c r="F6" s="5" t="s">
        <v>18</v>
      </c>
      <c r="G6" s="6" t="s">
        <v>25</v>
      </c>
      <c r="H6" s="6" t="s">
        <v>42</v>
      </c>
      <c r="I6" s="6" t="s">
        <v>26</v>
      </c>
      <c r="J6" s="7"/>
      <c r="K6" s="6" t="s">
        <v>90</v>
      </c>
      <c r="L6" s="7" t="s">
        <v>289</v>
      </c>
      <c r="M6" s="6" t="s">
        <v>289</v>
      </c>
      <c r="N6" s="7"/>
      <c r="O6" s="6" t="s">
        <v>42</v>
      </c>
      <c r="P6" s="6" t="s">
        <v>27</v>
      </c>
      <c r="Q6" s="6" t="s">
        <v>43</v>
      </c>
      <c r="R6" s="7"/>
      <c r="S6" s="23" t="str">
        <f>"287,5"</f>
        <v>287,5</v>
      </c>
      <c r="T6" s="27" t="str">
        <f>"329,1013"</f>
        <v>329,1013</v>
      </c>
      <c r="U6" s="5" t="s">
        <v>556</v>
      </c>
    </row>
    <row r="8" spans="1:20" ht="15">
      <c r="A8" s="38" t="s">
        <v>49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1" ht="12.75">
      <c r="A9" s="23" t="s">
        <v>290</v>
      </c>
      <c r="B9" s="5" t="s">
        <v>291</v>
      </c>
      <c r="C9" s="5" t="s">
        <v>292</v>
      </c>
      <c r="D9" s="5" t="str">
        <f>"0,7383"</f>
        <v>0,7383</v>
      </c>
      <c r="E9" s="5" t="s">
        <v>17</v>
      </c>
      <c r="F9" s="5" t="s">
        <v>18</v>
      </c>
      <c r="G9" s="6" t="s">
        <v>55</v>
      </c>
      <c r="H9" s="7" t="s">
        <v>47</v>
      </c>
      <c r="I9" s="6" t="s">
        <v>67</v>
      </c>
      <c r="J9" s="7"/>
      <c r="K9" s="6" t="s">
        <v>66</v>
      </c>
      <c r="L9" s="6" t="s">
        <v>43</v>
      </c>
      <c r="M9" s="6" t="s">
        <v>116</v>
      </c>
      <c r="N9" s="7"/>
      <c r="O9" s="6" t="s">
        <v>127</v>
      </c>
      <c r="P9" s="7" t="s">
        <v>74</v>
      </c>
      <c r="Q9" s="7" t="s">
        <v>74</v>
      </c>
      <c r="R9" s="7"/>
      <c r="S9" s="23" t="str">
        <f>"500,0"</f>
        <v>500,0</v>
      </c>
      <c r="T9" s="27" t="str">
        <f>"369,1500"</f>
        <v>369,1500</v>
      </c>
      <c r="U9" s="5" t="s">
        <v>543</v>
      </c>
    </row>
    <row r="11" spans="1:20" ht="15">
      <c r="A11" s="38" t="s">
        <v>171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1" ht="12.75">
      <c r="A12" s="21" t="s">
        <v>293</v>
      </c>
      <c r="B12" s="8" t="s">
        <v>294</v>
      </c>
      <c r="C12" s="8" t="s">
        <v>295</v>
      </c>
      <c r="D12" s="8" t="str">
        <f>"0,6832"</f>
        <v>0,6832</v>
      </c>
      <c r="E12" s="8" t="s">
        <v>17</v>
      </c>
      <c r="F12" s="8" t="s">
        <v>18</v>
      </c>
      <c r="G12" s="9" t="s">
        <v>55</v>
      </c>
      <c r="H12" s="9" t="s">
        <v>47</v>
      </c>
      <c r="I12" s="9" t="s">
        <v>67</v>
      </c>
      <c r="J12" s="10"/>
      <c r="K12" s="9" t="s">
        <v>120</v>
      </c>
      <c r="L12" s="9" t="s">
        <v>296</v>
      </c>
      <c r="M12" s="10" t="s">
        <v>53</v>
      </c>
      <c r="N12" s="10"/>
      <c r="O12" s="9" t="s">
        <v>56</v>
      </c>
      <c r="P12" s="9" t="s">
        <v>188</v>
      </c>
      <c r="Q12" s="9" t="s">
        <v>297</v>
      </c>
      <c r="R12" s="10"/>
      <c r="S12" s="21" t="str">
        <f>"520,0"</f>
        <v>520,0</v>
      </c>
      <c r="T12" s="25" t="str">
        <f>"355,2640"</f>
        <v>355,2640</v>
      </c>
      <c r="U12" s="8"/>
    </row>
    <row r="13" spans="1:21" ht="12.75">
      <c r="A13" s="22" t="s">
        <v>298</v>
      </c>
      <c r="B13" s="11" t="s">
        <v>299</v>
      </c>
      <c r="C13" s="11" t="s">
        <v>300</v>
      </c>
      <c r="D13" s="11" t="str">
        <f>"0,6729"</f>
        <v>0,6729</v>
      </c>
      <c r="E13" s="11" t="s">
        <v>17</v>
      </c>
      <c r="F13" s="11" t="s">
        <v>18</v>
      </c>
      <c r="G13" s="12" t="s">
        <v>55</v>
      </c>
      <c r="H13" s="13" t="s">
        <v>47</v>
      </c>
      <c r="I13" s="13"/>
      <c r="J13" s="13"/>
      <c r="K13" s="13" t="s">
        <v>38</v>
      </c>
      <c r="L13" s="13"/>
      <c r="M13" s="13"/>
      <c r="N13" s="13"/>
      <c r="O13" s="13" t="s">
        <v>121</v>
      </c>
      <c r="P13" s="13"/>
      <c r="Q13" s="13"/>
      <c r="R13" s="13"/>
      <c r="S13" s="22" t="str">
        <f>"0,0"</f>
        <v>0,0</v>
      </c>
      <c r="T13" s="26" t="str">
        <f>"0,0000"</f>
        <v>0,0000</v>
      </c>
      <c r="U13" s="11" t="s">
        <v>132</v>
      </c>
    </row>
    <row r="15" spans="1:20" ht="15">
      <c r="A15" s="38" t="s">
        <v>62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1" ht="12.75">
      <c r="A16" s="21" t="s">
        <v>301</v>
      </c>
      <c r="B16" s="8" t="s">
        <v>302</v>
      </c>
      <c r="C16" s="8" t="s">
        <v>303</v>
      </c>
      <c r="D16" s="8" t="str">
        <f>"0,6487"</f>
        <v>0,6487</v>
      </c>
      <c r="E16" s="8" t="s">
        <v>17</v>
      </c>
      <c r="F16" s="8" t="s">
        <v>18</v>
      </c>
      <c r="G16" s="9" t="s">
        <v>45</v>
      </c>
      <c r="H16" s="9" t="s">
        <v>146</v>
      </c>
      <c r="I16" s="9" t="s">
        <v>55</v>
      </c>
      <c r="J16" s="10"/>
      <c r="K16" s="9" t="s">
        <v>33</v>
      </c>
      <c r="L16" s="9" t="s">
        <v>25</v>
      </c>
      <c r="M16" s="9" t="s">
        <v>42</v>
      </c>
      <c r="N16" s="10"/>
      <c r="O16" s="9" t="s">
        <v>127</v>
      </c>
      <c r="P16" s="10" t="s">
        <v>73</v>
      </c>
      <c r="Q16" s="10" t="s">
        <v>128</v>
      </c>
      <c r="R16" s="10"/>
      <c r="S16" s="21" t="str">
        <f>"460,0"</f>
        <v>460,0</v>
      </c>
      <c r="T16" s="25" t="str">
        <f>"298,4020"</f>
        <v>298,4020</v>
      </c>
      <c r="U16" s="8"/>
    </row>
    <row r="17" spans="1:22" ht="12.75">
      <c r="A17" s="67" t="s">
        <v>304</v>
      </c>
      <c r="B17" s="68" t="s">
        <v>305</v>
      </c>
      <c r="C17" s="68" t="s">
        <v>306</v>
      </c>
      <c r="D17" s="68" t="str">
        <f>"0,6463"</f>
        <v>0,6463</v>
      </c>
      <c r="E17" s="68" t="s">
        <v>541</v>
      </c>
      <c r="F17" s="68" t="s">
        <v>307</v>
      </c>
      <c r="G17" s="69" t="s">
        <v>128</v>
      </c>
      <c r="H17" s="70" t="s">
        <v>141</v>
      </c>
      <c r="I17" s="70" t="s">
        <v>141</v>
      </c>
      <c r="J17" s="70"/>
      <c r="K17" s="69" t="s">
        <v>53</v>
      </c>
      <c r="L17" s="69" t="s">
        <v>54</v>
      </c>
      <c r="M17" s="69" t="s">
        <v>45</v>
      </c>
      <c r="N17" s="70"/>
      <c r="O17" s="70" t="s">
        <v>73</v>
      </c>
      <c r="P17" s="69" t="s">
        <v>73</v>
      </c>
      <c r="Q17" s="70" t="s">
        <v>74</v>
      </c>
      <c r="R17" s="70"/>
      <c r="S17" s="67" t="str">
        <f>"575,0"</f>
        <v>575,0</v>
      </c>
      <c r="T17" s="71" t="str">
        <f>"371,6225"</f>
        <v>371,6225</v>
      </c>
      <c r="U17" s="68" t="s">
        <v>557</v>
      </c>
      <c r="V17" s="60" t="s">
        <v>566</v>
      </c>
    </row>
    <row r="19" spans="1:20" ht="15">
      <c r="A19" s="38" t="s">
        <v>184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1" ht="12.75">
      <c r="A20" s="23" t="s">
        <v>308</v>
      </c>
      <c r="B20" s="5" t="s">
        <v>309</v>
      </c>
      <c r="C20" s="5" t="s">
        <v>310</v>
      </c>
      <c r="D20" s="5" t="str">
        <f>"0,6126"</f>
        <v>0,6126</v>
      </c>
      <c r="E20" s="5" t="s">
        <v>17</v>
      </c>
      <c r="F20" s="5" t="s">
        <v>18</v>
      </c>
      <c r="G20" s="6" t="s">
        <v>121</v>
      </c>
      <c r="H20" s="7" t="s">
        <v>136</v>
      </c>
      <c r="I20" s="7" t="s">
        <v>136</v>
      </c>
      <c r="J20" s="7"/>
      <c r="K20" s="6" t="s">
        <v>60</v>
      </c>
      <c r="L20" s="7" t="s">
        <v>139</v>
      </c>
      <c r="M20" s="7" t="s">
        <v>139</v>
      </c>
      <c r="N20" s="7"/>
      <c r="O20" s="6" t="s">
        <v>121</v>
      </c>
      <c r="P20" s="6" t="s">
        <v>127</v>
      </c>
      <c r="Q20" s="7"/>
      <c r="R20" s="7"/>
      <c r="S20" s="23" t="str">
        <f>"525,0"</f>
        <v>525,0</v>
      </c>
      <c r="T20" s="27" t="str">
        <f>"321,6150"</f>
        <v>321,6150</v>
      </c>
      <c r="U20" s="5" t="s">
        <v>558</v>
      </c>
    </row>
    <row r="22" ht="15">
      <c r="E22" s="14" t="s">
        <v>79</v>
      </c>
    </row>
    <row r="23" ht="15">
      <c r="E23" s="14" t="s">
        <v>80</v>
      </c>
    </row>
    <row r="24" ht="15">
      <c r="E24" s="14" t="s">
        <v>81</v>
      </c>
    </row>
    <row r="25" ht="15">
      <c r="E25" s="14" t="s">
        <v>82</v>
      </c>
    </row>
    <row r="26" ht="15">
      <c r="E26" s="14" t="s">
        <v>82</v>
      </c>
    </row>
    <row r="27" ht="15">
      <c r="E27" s="14" t="s">
        <v>83</v>
      </c>
    </row>
  </sheetData>
  <sheetProtection/>
  <mergeCells count="18">
    <mergeCell ref="A15:T15"/>
    <mergeCell ref="A19:T19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C4">
      <selection activeCell="V19" sqref="V19"/>
    </sheetView>
  </sheetViews>
  <sheetFormatPr defaultColWidth="9.00390625" defaultRowHeight="12.75"/>
  <cols>
    <col min="1" max="1" width="28.25390625" style="4" bestFit="1" customWidth="1"/>
    <col min="2" max="2" width="29.125" style="4" bestFit="1" customWidth="1"/>
    <col min="3" max="3" width="9.75390625" style="4" bestFit="1" customWidth="1"/>
    <col min="4" max="4" width="7.625" style="4" bestFit="1" customWidth="1"/>
    <col min="5" max="5" width="21.625" style="4" bestFit="1" customWidth="1"/>
    <col min="6" max="6" width="28.00390625" style="4" bestFit="1" customWidth="1"/>
    <col min="7" max="9" width="5.375" style="3" bestFit="1" customWidth="1"/>
    <col min="10" max="10" width="4.25390625" style="3" bestFit="1" customWidth="1"/>
    <col min="11" max="13" width="5.375" style="3" bestFit="1" customWidth="1"/>
    <col min="14" max="14" width="4.25390625" style="3" bestFit="1" customWidth="1"/>
    <col min="15" max="18" width="5.375" style="3" bestFit="1" customWidth="1"/>
    <col min="19" max="19" width="7.125" style="4" bestFit="1" customWidth="1"/>
    <col min="20" max="20" width="8.375" style="3" bestFit="1" customWidth="1"/>
    <col min="21" max="21" width="17.625" style="4" bestFit="1" customWidth="1"/>
    <col min="22" max="22" width="16.25390625" style="3" customWidth="1"/>
    <col min="23" max="16384" width="9.125" style="3" customWidth="1"/>
  </cols>
  <sheetData>
    <row r="1" spans="1:21" s="2" customFormat="1" ht="28.5" customHeight="1">
      <c r="A1" s="40" t="s">
        <v>534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11</v>
      </c>
      <c r="D3" s="50" t="s">
        <v>12</v>
      </c>
      <c r="E3" s="50" t="s">
        <v>7</v>
      </c>
      <c r="F3" s="50" t="s">
        <v>10</v>
      </c>
      <c r="G3" s="50" t="s">
        <v>1</v>
      </c>
      <c r="H3" s="50"/>
      <c r="I3" s="50"/>
      <c r="J3" s="50"/>
      <c r="K3" s="50" t="s">
        <v>2</v>
      </c>
      <c r="L3" s="50"/>
      <c r="M3" s="50"/>
      <c r="N3" s="50"/>
      <c r="O3" s="50" t="s">
        <v>3</v>
      </c>
      <c r="P3" s="50"/>
      <c r="Q3" s="50"/>
      <c r="R3" s="50"/>
      <c r="S3" s="50" t="s">
        <v>4</v>
      </c>
      <c r="T3" s="50" t="s">
        <v>6</v>
      </c>
      <c r="U3" s="34" t="s">
        <v>5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20">
        <v>1</v>
      </c>
      <c r="H4" s="20">
        <v>2</v>
      </c>
      <c r="I4" s="20">
        <v>3</v>
      </c>
      <c r="J4" s="20" t="s">
        <v>8</v>
      </c>
      <c r="K4" s="20">
        <v>1</v>
      </c>
      <c r="L4" s="20">
        <v>2</v>
      </c>
      <c r="M4" s="20">
        <v>3</v>
      </c>
      <c r="N4" s="20" t="s">
        <v>8</v>
      </c>
      <c r="O4" s="20">
        <v>1</v>
      </c>
      <c r="P4" s="20">
        <v>2</v>
      </c>
      <c r="Q4" s="20">
        <v>3</v>
      </c>
      <c r="R4" s="20" t="s">
        <v>8</v>
      </c>
      <c r="S4" s="49"/>
      <c r="T4" s="49"/>
      <c r="U4" s="35"/>
    </row>
    <row r="5" spans="1:20" ht="15">
      <c r="A5" s="36" t="s">
        <v>194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2" ht="12.75">
      <c r="A6" s="62" t="s">
        <v>311</v>
      </c>
      <c r="B6" s="63" t="s">
        <v>312</v>
      </c>
      <c r="C6" s="63" t="s">
        <v>313</v>
      </c>
      <c r="D6" s="63" t="str">
        <f>"1,3511"</f>
        <v>1,3511</v>
      </c>
      <c r="E6" s="63" t="s">
        <v>17</v>
      </c>
      <c r="F6" s="63" t="s">
        <v>18</v>
      </c>
      <c r="G6" s="65" t="s">
        <v>20</v>
      </c>
      <c r="H6" s="64" t="s">
        <v>32</v>
      </c>
      <c r="I6" s="64" t="s">
        <v>44</v>
      </c>
      <c r="J6" s="65"/>
      <c r="K6" s="64" t="s">
        <v>165</v>
      </c>
      <c r="L6" s="64" t="s">
        <v>107</v>
      </c>
      <c r="M6" s="65" t="s">
        <v>99</v>
      </c>
      <c r="N6" s="65"/>
      <c r="O6" s="64" t="s">
        <v>66</v>
      </c>
      <c r="P6" s="64" t="s">
        <v>116</v>
      </c>
      <c r="Q6" s="64" t="s">
        <v>120</v>
      </c>
      <c r="R6" s="65"/>
      <c r="S6" s="62" t="str">
        <f>"292,5"</f>
        <v>292,5</v>
      </c>
      <c r="T6" s="66" t="str">
        <f>"395,1967"</f>
        <v>395,1967</v>
      </c>
      <c r="U6" s="63" t="s">
        <v>552</v>
      </c>
      <c r="V6" s="60" t="s">
        <v>566</v>
      </c>
    </row>
    <row r="8" spans="1:20" ht="15">
      <c r="A8" s="38" t="s">
        <v>13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1" ht="12.75">
      <c r="A9" s="23" t="s">
        <v>314</v>
      </c>
      <c r="B9" s="5" t="s">
        <v>315</v>
      </c>
      <c r="C9" s="5" t="s">
        <v>316</v>
      </c>
      <c r="D9" s="5" t="str">
        <f>"0,8594"</f>
        <v>0,8594</v>
      </c>
      <c r="E9" s="5" t="s">
        <v>17</v>
      </c>
      <c r="F9" s="5" t="s">
        <v>18</v>
      </c>
      <c r="G9" s="6" t="s">
        <v>66</v>
      </c>
      <c r="H9" s="6" t="s">
        <v>43</v>
      </c>
      <c r="I9" s="6" t="s">
        <v>60</v>
      </c>
      <c r="J9" s="7"/>
      <c r="K9" s="6" t="s">
        <v>107</v>
      </c>
      <c r="L9" s="6" t="s">
        <v>20</v>
      </c>
      <c r="M9" s="6" t="s">
        <v>32</v>
      </c>
      <c r="N9" s="7"/>
      <c r="O9" s="6" t="s">
        <v>43</v>
      </c>
      <c r="P9" s="7" t="s">
        <v>53</v>
      </c>
      <c r="Q9" s="6" t="s">
        <v>54</v>
      </c>
      <c r="R9" s="7"/>
      <c r="S9" s="23" t="str">
        <f>"365,0"</f>
        <v>365,0</v>
      </c>
      <c r="T9" s="27" t="str">
        <f>"313,6810"</f>
        <v>313,6810</v>
      </c>
      <c r="U9" s="5" t="s">
        <v>553</v>
      </c>
    </row>
    <row r="11" spans="1:20" ht="15">
      <c r="A11" s="38" t="s">
        <v>49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1" ht="12.75">
      <c r="A12" s="23" t="s">
        <v>317</v>
      </c>
      <c r="B12" s="5" t="s">
        <v>318</v>
      </c>
      <c r="C12" s="5" t="s">
        <v>106</v>
      </c>
      <c r="D12" s="5" t="str">
        <f>"0,7193"</f>
        <v>0,7193</v>
      </c>
      <c r="E12" s="5" t="s">
        <v>541</v>
      </c>
      <c r="F12" s="5" t="s">
        <v>307</v>
      </c>
      <c r="G12" s="6" t="s">
        <v>146</v>
      </c>
      <c r="H12" s="7" t="s">
        <v>46</v>
      </c>
      <c r="I12" s="6" t="s">
        <v>46</v>
      </c>
      <c r="J12" s="7"/>
      <c r="K12" s="6" t="s">
        <v>25</v>
      </c>
      <c r="L12" s="7" t="s">
        <v>42</v>
      </c>
      <c r="M12" s="7" t="s">
        <v>42</v>
      </c>
      <c r="N12" s="7"/>
      <c r="O12" s="6" t="s">
        <v>140</v>
      </c>
      <c r="P12" s="7" t="s">
        <v>67</v>
      </c>
      <c r="Q12" s="7"/>
      <c r="R12" s="7"/>
      <c r="S12" s="23" t="str">
        <f>"417,5"</f>
        <v>417,5</v>
      </c>
      <c r="T12" s="27" t="str">
        <f>"300,3077"</f>
        <v>300,3077</v>
      </c>
      <c r="U12" s="5" t="s">
        <v>554</v>
      </c>
    </row>
    <row r="14" spans="1:20" ht="15">
      <c r="A14" s="38" t="s">
        <v>171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1" ht="12.75">
      <c r="A15" s="21" t="s">
        <v>319</v>
      </c>
      <c r="B15" s="8" t="s">
        <v>320</v>
      </c>
      <c r="C15" s="8" t="s">
        <v>321</v>
      </c>
      <c r="D15" s="8" t="str">
        <f>"0,6838"</f>
        <v>0,6838</v>
      </c>
      <c r="E15" s="8" t="s">
        <v>17</v>
      </c>
      <c r="F15" s="8" t="s">
        <v>18</v>
      </c>
      <c r="G15" s="10" t="s">
        <v>68</v>
      </c>
      <c r="H15" s="10" t="s">
        <v>56</v>
      </c>
      <c r="I15" s="10" t="s">
        <v>56</v>
      </c>
      <c r="J15" s="10"/>
      <c r="K15" s="10" t="s">
        <v>178</v>
      </c>
      <c r="L15" s="10"/>
      <c r="M15" s="10"/>
      <c r="N15" s="10"/>
      <c r="O15" s="10" t="s">
        <v>121</v>
      </c>
      <c r="P15" s="10"/>
      <c r="Q15" s="10"/>
      <c r="R15" s="10"/>
      <c r="S15" s="21" t="str">
        <f>"0,0"</f>
        <v>0,0</v>
      </c>
      <c r="T15" s="25" t="str">
        <f>"0,0000"</f>
        <v>0,0000</v>
      </c>
      <c r="U15" s="8"/>
    </row>
    <row r="16" spans="1:22" ht="12.75">
      <c r="A16" s="67" t="s">
        <v>322</v>
      </c>
      <c r="B16" s="68" t="s">
        <v>323</v>
      </c>
      <c r="C16" s="68" t="s">
        <v>324</v>
      </c>
      <c r="D16" s="68" t="str">
        <f>"0,6811"</f>
        <v>0,6811</v>
      </c>
      <c r="E16" s="68" t="s">
        <v>17</v>
      </c>
      <c r="F16" s="68" t="s">
        <v>18</v>
      </c>
      <c r="G16" s="69" t="s">
        <v>67</v>
      </c>
      <c r="H16" s="69" t="s">
        <v>121</v>
      </c>
      <c r="I16" s="69" t="s">
        <v>128</v>
      </c>
      <c r="J16" s="70"/>
      <c r="K16" s="69" t="s">
        <v>60</v>
      </c>
      <c r="L16" s="69" t="s">
        <v>53</v>
      </c>
      <c r="M16" s="70" t="s">
        <v>45</v>
      </c>
      <c r="N16" s="70"/>
      <c r="O16" s="69" t="s">
        <v>141</v>
      </c>
      <c r="P16" s="69" t="s">
        <v>325</v>
      </c>
      <c r="Q16" s="70" t="s">
        <v>130</v>
      </c>
      <c r="R16" s="70"/>
      <c r="S16" s="67" t="str">
        <f>"590,0"</f>
        <v>590,0</v>
      </c>
      <c r="T16" s="71" t="str">
        <f>"401,8490"</f>
        <v>401,8490</v>
      </c>
      <c r="U16" s="68" t="s">
        <v>555</v>
      </c>
      <c r="V16" s="60" t="s">
        <v>566</v>
      </c>
    </row>
    <row r="18" spans="1:20" ht="15">
      <c r="A18" s="38" t="s">
        <v>184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1" ht="12.75">
      <c r="A19" s="23" t="s">
        <v>326</v>
      </c>
      <c r="B19" s="5" t="s">
        <v>327</v>
      </c>
      <c r="C19" s="5" t="s">
        <v>328</v>
      </c>
      <c r="D19" s="5" t="str">
        <f>"0,6188"</f>
        <v>0,6188</v>
      </c>
      <c r="E19" s="5" t="s">
        <v>17</v>
      </c>
      <c r="F19" s="5" t="s">
        <v>18</v>
      </c>
      <c r="G19" s="6" t="s">
        <v>128</v>
      </c>
      <c r="H19" s="6" t="s">
        <v>141</v>
      </c>
      <c r="I19" s="6" t="s">
        <v>325</v>
      </c>
      <c r="J19" s="7"/>
      <c r="K19" s="6" t="s">
        <v>60</v>
      </c>
      <c r="L19" s="6" t="s">
        <v>296</v>
      </c>
      <c r="M19" s="7" t="s">
        <v>53</v>
      </c>
      <c r="N19" s="7"/>
      <c r="O19" s="7" t="s">
        <v>129</v>
      </c>
      <c r="P19" s="7" t="s">
        <v>130</v>
      </c>
      <c r="Q19" s="6" t="s">
        <v>130</v>
      </c>
      <c r="R19" s="7" t="s">
        <v>329</v>
      </c>
      <c r="S19" s="23" t="str">
        <f>"612,5"</f>
        <v>612,5</v>
      </c>
      <c r="T19" s="27" t="str">
        <f>"379,0150"</f>
        <v>379,0150</v>
      </c>
      <c r="U19" s="5" t="s">
        <v>330</v>
      </c>
    </row>
    <row r="21" spans="1:20" ht="15">
      <c r="A21" s="38" t="s">
        <v>69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1" ht="12.75">
      <c r="A22" s="23" t="s">
        <v>331</v>
      </c>
      <c r="B22" s="5" t="s">
        <v>332</v>
      </c>
      <c r="C22" s="5" t="s">
        <v>333</v>
      </c>
      <c r="D22" s="5" t="str">
        <f>"0,6004"</f>
        <v>0,6004</v>
      </c>
      <c r="E22" s="5" t="s">
        <v>17</v>
      </c>
      <c r="F22" s="5" t="s">
        <v>18</v>
      </c>
      <c r="G22" s="6" t="s">
        <v>45</v>
      </c>
      <c r="H22" s="6" t="s">
        <v>47</v>
      </c>
      <c r="I22" s="6" t="s">
        <v>56</v>
      </c>
      <c r="J22" s="7"/>
      <c r="K22" s="6" t="s">
        <v>43</v>
      </c>
      <c r="L22" s="7" t="s">
        <v>120</v>
      </c>
      <c r="M22" s="7"/>
      <c r="N22" s="7"/>
      <c r="O22" s="6" t="s">
        <v>127</v>
      </c>
      <c r="P22" s="6" t="s">
        <v>128</v>
      </c>
      <c r="Q22" s="7" t="s">
        <v>74</v>
      </c>
      <c r="R22" s="7"/>
      <c r="S22" s="23" t="str">
        <f>"520,0"</f>
        <v>520,0</v>
      </c>
      <c r="T22" s="27" t="str">
        <f>"347,4875"</f>
        <v>347,4875</v>
      </c>
      <c r="U22" s="5"/>
    </row>
    <row r="23" ht="12.75">
      <c r="A23" s="16"/>
    </row>
    <row r="24" ht="15">
      <c r="E24" s="14" t="s">
        <v>79</v>
      </c>
    </row>
    <row r="25" ht="15">
      <c r="E25" s="14" t="s">
        <v>80</v>
      </c>
    </row>
    <row r="26" ht="15">
      <c r="E26" s="14" t="s">
        <v>81</v>
      </c>
    </row>
    <row r="27" ht="15">
      <c r="E27" s="14" t="s">
        <v>82</v>
      </c>
    </row>
    <row r="28" ht="15">
      <c r="E28" s="14" t="s">
        <v>82</v>
      </c>
    </row>
    <row r="29" ht="15">
      <c r="E29" s="14" t="s">
        <v>83</v>
      </c>
    </row>
    <row r="30" ht="15">
      <c r="E30" s="14"/>
    </row>
  </sheetData>
  <sheetProtection/>
  <mergeCells count="19">
    <mergeCell ref="A14:T14"/>
    <mergeCell ref="A18:T18"/>
    <mergeCell ref="A21:T21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C1">
      <selection activeCell="V10" sqref="V10"/>
    </sheetView>
  </sheetViews>
  <sheetFormatPr defaultColWidth="9.00390625" defaultRowHeight="12.75"/>
  <cols>
    <col min="1" max="1" width="24.125" style="4" bestFit="1" customWidth="1"/>
    <col min="2" max="2" width="22.75390625" style="4" bestFit="1" customWidth="1"/>
    <col min="3" max="3" width="9.75390625" style="4" bestFit="1" customWidth="1"/>
    <col min="4" max="4" width="7.625" style="4" bestFit="1" customWidth="1"/>
    <col min="5" max="5" width="21.625" style="4" bestFit="1" customWidth="1"/>
    <col min="6" max="6" width="27.375" style="4" bestFit="1" customWidth="1"/>
    <col min="7" max="9" width="5.375" style="3" bestFit="1" customWidth="1"/>
    <col min="10" max="10" width="4.25390625" style="3" bestFit="1" customWidth="1"/>
    <col min="11" max="13" width="5.375" style="3" bestFit="1" customWidth="1"/>
    <col min="14" max="14" width="4.25390625" style="3" bestFit="1" customWidth="1"/>
    <col min="15" max="17" width="5.375" style="3" bestFit="1" customWidth="1"/>
    <col min="18" max="18" width="4.25390625" style="3" bestFit="1" customWidth="1"/>
    <col min="19" max="19" width="7.125" style="4" bestFit="1" customWidth="1"/>
    <col min="20" max="20" width="8.375" style="3" bestFit="1" customWidth="1"/>
    <col min="21" max="21" width="7.875" style="4" bestFit="1" customWidth="1"/>
    <col min="22" max="22" width="16.125" style="3" customWidth="1"/>
    <col min="23" max="16384" width="9.125" style="3" customWidth="1"/>
  </cols>
  <sheetData>
    <row r="1" spans="1:21" s="2" customFormat="1" ht="28.5" customHeight="1">
      <c r="A1" s="40" t="s">
        <v>535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11</v>
      </c>
      <c r="D3" s="50" t="s">
        <v>12</v>
      </c>
      <c r="E3" s="50" t="s">
        <v>7</v>
      </c>
      <c r="F3" s="50" t="s">
        <v>10</v>
      </c>
      <c r="G3" s="50" t="s">
        <v>1</v>
      </c>
      <c r="H3" s="50"/>
      <c r="I3" s="50"/>
      <c r="J3" s="50"/>
      <c r="K3" s="50" t="s">
        <v>2</v>
      </c>
      <c r="L3" s="50"/>
      <c r="M3" s="50"/>
      <c r="N3" s="50"/>
      <c r="O3" s="50" t="s">
        <v>3</v>
      </c>
      <c r="P3" s="50"/>
      <c r="Q3" s="50"/>
      <c r="R3" s="50"/>
      <c r="S3" s="50" t="s">
        <v>4</v>
      </c>
      <c r="T3" s="50" t="s">
        <v>6</v>
      </c>
      <c r="U3" s="34" t="s">
        <v>5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20">
        <v>1</v>
      </c>
      <c r="H4" s="20">
        <v>2</v>
      </c>
      <c r="I4" s="20">
        <v>3</v>
      </c>
      <c r="J4" s="20" t="s">
        <v>8</v>
      </c>
      <c r="K4" s="20">
        <v>1</v>
      </c>
      <c r="L4" s="20">
        <v>2</v>
      </c>
      <c r="M4" s="20">
        <v>3</v>
      </c>
      <c r="N4" s="20" t="s">
        <v>8</v>
      </c>
      <c r="O4" s="20">
        <v>1</v>
      </c>
      <c r="P4" s="20">
        <v>2</v>
      </c>
      <c r="Q4" s="20">
        <v>3</v>
      </c>
      <c r="R4" s="20" t="s">
        <v>8</v>
      </c>
      <c r="S4" s="49"/>
      <c r="T4" s="49"/>
      <c r="U4" s="35"/>
    </row>
    <row r="5" spans="1:20" ht="15">
      <c r="A5" s="36" t="s">
        <v>62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2" ht="12.75">
      <c r="A6" s="62" t="s">
        <v>334</v>
      </c>
      <c r="B6" s="63" t="s">
        <v>335</v>
      </c>
      <c r="C6" s="63" t="s">
        <v>336</v>
      </c>
      <c r="D6" s="63" t="str">
        <f>"0,6540"</f>
        <v>0,6540</v>
      </c>
      <c r="E6" s="63" t="s">
        <v>17</v>
      </c>
      <c r="F6" s="63" t="s">
        <v>18</v>
      </c>
      <c r="G6" s="65" t="s">
        <v>129</v>
      </c>
      <c r="H6" s="64" t="s">
        <v>129</v>
      </c>
      <c r="I6" s="64" t="s">
        <v>337</v>
      </c>
      <c r="J6" s="65"/>
      <c r="K6" s="65" t="s">
        <v>47</v>
      </c>
      <c r="L6" s="65" t="s">
        <v>68</v>
      </c>
      <c r="M6" s="64" t="s">
        <v>68</v>
      </c>
      <c r="N6" s="65"/>
      <c r="O6" s="64" t="s">
        <v>74</v>
      </c>
      <c r="P6" s="65" t="s">
        <v>130</v>
      </c>
      <c r="Q6" s="64" t="s">
        <v>130</v>
      </c>
      <c r="R6" s="65"/>
      <c r="S6" s="62" t="str">
        <f>"670,0"</f>
        <v>670,0</v>
      </c>
      <c r="T6" s="66" t="str">
        <f>"438,1800"</f>
        <v>438,1800</v>
      </c>
      <c r="U6" s="63" t="s">
        <v>132</v>
      </c>
      <c r="V6" s="60" t="s">
        <v>566</v>
      </c>
    </row>
    <row r="8" ht="15">
      <c r="E8" s="14" t="s">
        <v>79</v>
      </c>
    </row>
    <row r="9" ht="15">
      <c r="E9" s="14" t="s">
        <v>80</v>
      </c>
    </row>
    <row r="10" ht="15">
      <c r="E10" s="14" t="s">
        <v>81</v>
      </c>
    </row>
    <row r="11" ht="15">
      <c r="E11" s="14" t="s">
        <v>82</v>
      </c>
    </row>
    <row r="12" ht="15">
      <c r="E12" s="14" t="s">
        <v>82</v>
      </c>
    </row>
    <row r="13" ht="15">
      <c r="E13" s="14" t="s">
        <v>83</v>
      </c>
    </row>
    <row r="14" ht="15">
      <c r="E14" s="14"/>
    </row>
  </sheetData>
  <sheetProtection/>
  <mergeCells count="14"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24.125" style="4" bestFit="1" customWidth="1"/>
    <col min="2" max="2" width="28.125" style="4" bestFit="1" customWidth="1"/>
    <col min="3" max="3" width="9.75390625" style="4" bestFit="1" customWidth="1"/>
    <col min="4" max="4" width="7.625" style="4" bestFit="1" customWidth="1"/>
    <col min="5" max="5" width="21.625" style="4" bestFit="1" customWidth="1"/>
    <col min="6" max="6" width="33.125" style="4" bestFit="1" customWidth="1"/>
    <col min="7" max="7" width="5.375" style="3" bestFit="1" customWidth="1"/>
    <col min="8" max="8" width="4.375" style="3" bestFit="1" customWidth="1"/>
    <col min="9" max="9" width="11.125" style="4" customWidth="1"/>
    <col min="10" max="10" width="9.375" style="3" bestFit="1" customWidth="1"/>
    <col min="11" max="11" width="22.375" style="4" bestFit="1" customWidth="1"/>
    <col min="12" max="16384" width="9.125" style="3" customWidth="1"/>
  </cols>
  <sheetData>
    <row r="1" spans="1:11" s="2" customFormat="1" ht="28.5" customHeight="1">
      <c r="A1" s="40" t="s">
        <v>532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11</v>
      </c>
      <c r="D3" s="50" t="s">
        <v>495</v>
      </c>
      <c r="E3" s="50" t="s">
        <v>7</v>
      </c>
      <c r="F3" s="50" t="s">
        <v>10</v>
      </c>
      <c r="G3" s="50" t="s">
        <v>2</v>
      </c>
      <c r="H3" s="50"/>
      <c r="I3" s="50" t="s">
        <v>193</v>
      </c>
      <c r="J3" s="50" t="s">
        <v>6</v>
      </c>
      <c r="K3" s="34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0">
        <v>1</v>
      </c>
      <c r="H4" s="20">
        <v>2</v>
      </c>
      <c r="I4" s="49"/>
      <c r="J4" s="49"/>
      <c r="K4" s="35"/>
    </row>
    <row r="5" spans="1:10" ht="15">
      <c r="A5" s="36" t="s">
        <v>49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A6" s="23" t="s">
        <v>496</v>
      </c>
      <c r="B6" s="5" t="s">
        <v>497</v>
      </c>
      <c r="C6" s="5" t="s">
        <v>392</v>
      </c>
      <c r="D6" s="5" t="str">
        <f>"0,6885"</f>
        <v>0,6885</v>
      </c>
      <c r="E6" s="5" t="s">
        <v>17</v>
      </c>
      <c r="F6" s="5" t="s">
        <v>18</v>
      </c>
      <c r="G6" s="6" t="s">
        <v>19</v>
      </c>
      <c r="H6" s="6" t="s">
        <v>160</v>
      </c>
      <c r="I6" s="23" t="str">
        <f>"1875,0"</f>
        <v>1875,0</v>
      </c>
      <c r="J6" s="27" t="str">
        <f>"1316,8519"</f>
        <v>1316,8519</v>
      </c>
      <c r="K6" s="5" t="s">
        <v>132</v>
      </c>
    </row>
    <row r="8" spans="1:10" ht="15">
      <c r="A8" s="38" t="s">
        <v>171</v>
      </c>
      <c r="B8" s="39"/>
      <c r="C8" s="39"/>
      <c r="D8" s="39"/>
      <c r="E8" s="39"/>
      <c r="F8" s="39"/>
      <c r="G8" s="39"/>
      <c r="H8" s="39"/>
      <c r="I8" s="39"/>
      <c r="J8" s="39"/>
    </row>
    <row r="9" spans="1:11" ht="12.75">
      <c r="A9" s="21" t="s">
        <v>498</v>
      </c>
      <c r="B9" s="8" t="s">
        <v>499</v>
      </c>
      <c r="C9" s="8" t="s">
        <v>321</v>
      </c>
      <c r="D9" s="8" t="str">
        <f>"0,6589"</f>
        <v>0,6589</v>
      </c>
      <c r="E9" s="8" t="s">
        <v>17</v>
      </c>
      <c r="F9" s="8" t="s">
        <v>18</v>
      </c>
      <c r="G9" s="9" t="s">
        <v>20</v>
      </c>
      <c r="H9" s="9" t="s">
        <v>500</v>
      </c>
      <c r="I9" s="21" t="str">
        <f>"2480,0"</f>
        <v>2480,0</v>
      </c>
      <c r="J9" s="25" t="str">
        <f>"1634,1959"</f>
        <v>1634,1959</v>
      </c>
      <c r="K9" s="8" t="s">
        <v>132</v>
      </c>
    </row>
    <row r="10" spans="1:11" ht="12.75">
      <c r="A10" s="24" t="s">
        <v>501</v>
      </c>
      <c r="B10" s="17" t="s">
        <v>502</v>
      </c>
      <c r="C10" s="17" t="s">
        <v>503</v>
      </c>
      <c r="D10" s="17" t="str">
        <f>"0,6673"</f>
        <v>0,6673</v>
      </c>
      <c r="E10" s="17" t="s">
        <v>17</v>
      </c>
      <c r="F10" s="17" t="s">
        <v>18</v>
      </c>
      <c r="G10" s="19" t="s">
        <v>20</v>
      </c>
      <c r="H10" s="19" t="s">
        <v>504</v>
      </c>
      <c r="I10" s="24" t="str">
        <f>"1840,0"</f>
        <v>1840,0</v>
      </c>
      <c r="J10" s="28" t="str">
        <f>"1227,8320"</f>
        <v>1227,8320</v>
      </c>
      <c r="K10" s="17"/>
    </row>
    <row r="11" spans="1:11" ht="12.75">
      <c r="A11" s="22" t="s">
        <v>505</v>
      </c>
      <c r="B11" s="11" t="s">
        <v>506</v>
      </c>
      <c r="C11" s="11" t="s">
        <v>348</v>
      </c>
      <c r="D11" s="11" t="str">
        <f>"0,6451"</f>
        <v>0,6451</v>
      </c>
      <c r="E11" s="11" t="s">
        <v>541</v>
      </c>
      <c r="F11" s="11" t="s">
        <v>361</v>
      </c>
      <c r="G11" s="12" t="s">
        <v>103</v>
      </c>
      <c r="H11" s="12" t="s">
        <v>507</v>
      </c>
      <c r="I11" s="22" t="str">
        <f>"1072,5"</f>
        <v>1072,5</v>
      </c>
      <c r="J11" s="26" t="str">
        <f>"713,3177"</f>
        <v>713,3177</v>
      </c>
      <c r="K11" s="11"/>
    </row>
    <row r="13" spans="1:10" ht="15">
      <c r="A13" s="38" t="s">
        <v>62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1" ht="12.75">
      <c r="A14" s="23" t="s">
        <v>508</v>
      </c>
      <c r="B14" s="5" t="s">
        <v>509</v>
      </c>
      <c r="C14" s="5" t="s">
        <v>510</v>
      </c>
      <c r="D14" s="5" t="str">
        <f>"0,6133"</f>
        <v>0,6133</v>
      </c>
      <c r="E14" s="5" t="s">
        <v>541</v>
      </c>
      <c r="F14" s="5" t="s">
        <v>343</v>
      </c>
      <c r="G14" s="6" t="s">
        <v>33</v>
      </c>
      <c r="H14" s="6" t="s">
        <v>100</v>
      </c>
      <c r="I14" s="23" t="str">
        <f>"3150,0"</f>
        <v>3150,0</v>
      </c>
      <c r="J14" s="27" t="str">
        <f>"1932,0524"</f>
        <v>1932,0524</v>
      </c>
      <c r="K14" s="5" t="s">
        <v>551</v>
      </c>
    </row>
    <row r="16" spans="1:10" ht="15">
      <c r="A16" s="38" t="s">
        <v>184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1" ht="12.75">
      <c r="A17" s="23" t="s">
        <v>511</v>
      </c>
      <c r="B17" s="5" t="s">
        <v>491</v>
      </c>
      <c r="C17" s="5" t="s">
        <v>423</v>
      </c>
      <c r="D17" s="5" t="str">
        <f>"0,5838"</f>
        <v>0,5838</v>
      </c>
      <c r="E17" s="5" t="s">
        <v>541</v>
      </c>
      <c r="F17" s="5" t="s">
        <v>343</v>
      </c>
      <c r="G17" s="6" t="s">
        <v>42</v>
      </c>
      <c r="H17" s="6" t="s">
        <v>504</v>
      </c>
      <c r="I17" s="23" t="str">
        <f>"2300,0"</f>
        <v>2300,0</v>
      </c>
      <c r="J17" s="27" t="str">
        <f>"1342,7400"</f>
        <v>1342,7400</v>
      </c>
      <c r="K17" s="5"/>
    </row>
    <row r="19" ht="15">
      <c r="E19" s="14" t="s">
        <v>79</v>
      </c>
    </row>
    <row r="20" ht="15">
      <c r="E20" s="14" t="s">
        <v>80</v>
      </c>
    </row>
    <row r="21" ht="15">
      <c r="E21" s="14" t="s">
        <v>81</v>
      </c>
    </row>
    <row r="22" ht="15">
      <c r="E22" s="14" t="s">
        <v>82</v>
      </c>
    </row>
    <row r="23" ht="15">
      <c r="E23" s="14" t="s">
        <v>82</v>
      </c>
    </row>
    <row r="24" ht="15">
      <c r="E24" s="14" t="s">
        <v>83</v>
      </c>
    </row>
    <row r="25" ht="15">
      <c r="E25" s="14"/>
    </row>
  </sheetData>
  <sheetProtection/>
  <mergeCells count="15">
    <mergeCell ref="E3:E4"/>
    <mergeCell ref="F3:F4"/>
    <mergeCell ref="G3:H3"/>
    <mergeCell ref="I3:I4"/>
    <mergeCell ref="J3:J4"/>
    <mergeCell ref="K3:K4"/>
    <mergeCell ref="A5:J5"/>
    <mergeCell ref="A8:J8"/>
    <mergeCell ref="A13:J13"/>
    <mergeCell ref="A16:J16"/>
    <mergeCell ref="A1:K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24.125" style="4" bestFit="1" customWidth="1"/>
    <col min="2" max="2" width="28.25390625" style="4" bestFit="1" customWidth="1"/>
    <col min="3" max="3" width="9.75390625" style="4" bestFit="1" customWidth="1"/>
    <col min="4" max="4" width="7.625" style="4" bestFit="1" customWidth="1"/>
    <col min="5" max="5" width="21.625" style="4" bestFit="1" customWidth="1"/>
    <col min="6" max="6" width="27.375" style="4" bestFit="1" customWidth="1"/>
    <col min="7" max="9" width="5.375" style="3" bestFit="1" customWidth="1"/>
    <col min="10" max="10" width="4.25390625" style="3" bestFit="1" customWidth="1"/>
    <col min="11" max="11" width="11.25390625" style="4" customWidth="1"/>
    <col min="12" max="12" width="8.375" style="3" bestFit="1" customWidth="1"/>
    <col min="13" max="13" width="20.625" style="4" bestFit="1" customWidth="1"/>
    <col min="14" max="16384" width="9.125" style="3" customWidth="1"/>
  </cols>
  <sheetData>
    <row r="1" spans="1:13" s="2" customFormat="1" ht="28.5" customHeight="1">
      <c r="A1" s="40" t="s">
        <v>530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11</v>
      </c>
      <c r="D3" s="50" t="s">
        <v>12</v>
      </c>
      <c r="E3" s="50" t="s">
        <v>7</v>
      </c>
      <c r="F3" s="50" t="s">
        <v>10</v>
      </c>
      <c r="G3" s="50" t="s">
        <v>3</v>
      </c>
      <c r="H3" s="50"/>
      <c r="I3" s="50"/>
      <c r="J3" s="50"/>
      <c r="K3" s="50" t="s">
        <v>193</v>
      </c>
      <c r="L3" s="50" t="s">
        <v>6</v>
      </c>
      <c r="M3" s="34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0">
        <v>1</v>
      </c>
      <c r="H4" s="20">
        <v>2</v>
      </c>
      <c r="I4" s="20">
        <v>3</v>
      </c>
      <c r="J4" s="20" t="s">
        <v>8</v>
      </c>
      <c r="K4" s="49"/>
      <c r="L4" s="49"/>
      <c r="M4" s="35"/>
    </row>
    <row r="5" spans="1:12" ht="15">
      <c r="A5" s="36" t="s">
        <v>95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23" t="s">
        <v>240</v>
      </c>
      <c r="B6" s="5" t="s">
        <v>241</v>
      </c>
      <c r="C6" s="5" t="s">
        <v>242</v>
      </c>
      <c r="D6" s="5" t="str">
        <f>"1,2485"</f>
        <v>1,2485</v>
      </c>
      <c r="E6" s="5" t="s">
        <v>17</v>
      </c>
      <c r="F6" s="5" t="s">
        <v>18</v>
      </c>
      <c r="G6" s="6" t="s">
        <v>34</v>
      </c>
      <c r="H6" s="6" t="s">
        <v>24</v>
      </c>
      <c r="I6" s="6" t="s">
        <v>165</v>
      </c>
      <c r="J6" s="7"/>
      <c r="K6" s="23" t="str">
        <f>"65,0"</f>
        <v>65,0</v>
      </c>
      <c r="L6" s="27" t="str">
        <f>"81,1525"</f>
        <v>81,1525</v>
      </c>
      <c r="M6" s="5"/>
    </row>
    <row r="8" spans="1:12" ht="15">
      <c r="A8" s="38" t="s">
        <v>108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3" ht="12.75">
      <c r="A9" s="23" t="s">
        <v>243</v>
      </c>
      <c r="B9" s="5" t="s">
        <v>244</v>
      </c>
      <c r="C9" s="5" t="s">
        <v>245</v>
      </c>
      <c r="D9" s="5" t="str">
        <f>"1,1933"</f>
        <v>1,1933</v>
      </c>
      <c r="E9" s="5" t="s">
        <v>17</v>
      </c>
      <c r="F9" s="5" t="s">
        <v>18</v>
      </c>
      <c r="G9" s="6" t="s">
        <v>44</v>
      </c>
      <c r="H9" s="6" t="s">
        <v>246</v>
      </c>
      <c r="I9" s="6" t="s">
        <v>26</v>
      </c>
      <c r="J9" s="7"/>
      <c r="K9" s="23" t="str">
        <f>"105,0"</f>
        <v>105,0</v>
      </c>
      <c r="L9" s="27" t="str">
        <f>"125,2965"</f>
        <v>125,2965</v>
      </c>
      <c r="M9" s="5" t="s">
        <v>550</v>
      </c>
    </row>
    <row r="11" spans="1:12" ht="15">
      <c r="A11" s="38" t="s">
        <v>171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3" ht="12.75">
      <c r="A12" s="23" t="s">
        <v>247</v>
      </c>
      <c r="B12" s="5" t="s">
        <v>248</v>
      </c>
      <c r="C12" s="5" t="s">
        <v>177</v>
      </c>
      <c r="D12" s="5" t="str">
        <f>"0,9150"</f>
        <v>0,9150</v>
      </c>
      <c r="E12" s="5" t="s">
        <v>17</v>
      </c>
      <c r="F12" s="5" t="s">
        <v>18</v>
      </c>
      <c r="G12" s="6" t="s">
        <v>90</v>
      </c>
      <c r="H12" s="6" t="s">
        <v>107</v>
      </c>
      <c r="I12" s="6" t="s">
        <v>20</v>
      </c>
      <c r="J12" s="7"/>
      <c r="K12" s="23" t="str">
        <f>"80,0"</f>
        <v>80,0</v>
      </c>
      <c r="L12" s="27" t="str">
        <f>"73,2000"</f>
        <v>73,2000</v>
      </c>
      <c r="M12" s="5" t="s">
        <v>132</v>
      </c>
    </row>
    <row r="14" spans="1:12" ht="15">
      <c r="A14" s="38" t="s">
        <v>184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3" ht="12.75">
      <c r="A15" s="23" t="s">
        <v>249</v>
      </c>
      <c r="B15" s="5" t="s">
        <v>250</v>
      </c>
      <c r="C15" s="5" t="s">
        <v>251</v>
      </c>
      <c r="D15" s="5" t="str">
        <f>"0,6241"</f>
        <v>0,6241</v>
      </c>
      <c r="E15" s="5" t="s">
        <v>17</v>
      </c>
      <c r="F15" s="5" t="s">
        <v>18</v>
      </c>
      <c r="G15" s="7" t="s">
        <v>128</v>
      </c>
      <c r="H15" s="6" t="s">
        <v>128</v>
      </c>
      <c r="I15" s="6" t="s">
        <v>141</v>
      </c>
      <c r="J15" s="7"/>
      <c r="K15" s="23" t="str">
        <f>"225,0"</f>
        <v>225,0</v>
      </c>
      <c r="L15" s="27" t="str">
        <f>"140,4225"</f>
        <v>140,4225</v>
      </c>
      <c r="M15" s="5" t="s">
        <v>132</v>
      </c>
    </row>
    <row r="17" ht="15">
      <c r="E17" s="14" t="s">
        <v>79</v>
      </c>
    </row>
    <row r="18" ht="15">
      <c r="E18" s="14" t="s">
        <v>80</v>
      </c>
    </row>
    <row r="19" ht="15">
      <c r="E19" s="14" t="s">
        <v>81</v>
      </c>
    </row>
    <row r="20" ht="15">
      <c r="E20" s="14" t="s">
        <v>82</v>
      </c>
    </row>
    <row r="21" ht="15">
      <c r="E21" s="14" t="s">
        <v>82</v>
      </c>
    </row>
    <row r="22" ht="15">
      <c r="E22" s="14" t="s">
        <v>83</v>
      </c>
    </row>
    <row r="23" ht="16.5" customHeight="1">
      <c r="E23" s="14"/>
    </row>
  </sheetData>
  <sheetProtection/>
  <mergeCells count="15">
    <mergeCell ref="A14:L1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Windows User</cp:lastModifiedBy>
  <cp:lastPrinted>2015-07-16T19:10:53Z</cp:lastPrinted>
  <dcterms:created xsi:type="dcterms:W3CDTF">2002-06-16T13:36:44Z</dcterms:created>
  <dcterms:modified xsi:type="dcterms:W3CDTF">2018-03-07T14:26:47Z</dcterms:modified>
  <cp:category/>
  <cp:version/>
  <cp:contentType/>
  <cp:contentStatus/>
</cp:coreProperties>
</file>